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2-1 OakandIvy_LACo (fka Live Oak)\08. Funding\8.4 CDLAC\CDLAC Application_R2 2026\"/>
    </mc:Choice>
  </mc:AlternateContent>
  <xr:revisionPtr revIDLastSave="0" documentId="13_ncr:1_{E108BF45-1761-423B-9454-32B10F47D229}"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7480" yWindow="-120" windowWidth="29040" windowHeight="15720" tabRatio="88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28" i="3" l="1"/>
  <c r="G726" i="3"/>
  <c r="E80" i="4"/>
  <c r="AF1036" i="3" l="1"/>
  <c r="E89" i="4"/>
  <c r="S80" i="4" l="1"/>
  <c r="AA959" i="3"/>
  <c r="AA958" i="3"/>
  <c r="AA928" i="3"/>
  <c r="AA927" i="3"/>
  <c r="E43" i="4"/>
  <c r="E99" i="4"/>
  <c r="E94" i="4"/>
  <c r="E93" i="4"/>
  <c r="E92" i="4"/>
  <c r="E91" i="4"/>
  <c r="E90" i="4"/>
  <c r="E86" i="4"/>
  <c r="E85" i="4"/>
  <c r="E84" i="4"/>
  <c r="E83" i="4"/>
  <c r="E79" i="4"/>
  <c r="E75" i="4"/>
  <c r="E69" i="4"/>
  <c r="E65" i="4"/>
  <c r="E61" i="4"/>
  <c r="E57" i="4"/>
  <c r="E58" i="4"/>
  <c r="E56" i="4"/>
  <c r="E50" i="4"/>
  <c r="E51" i="4"/>
  <c r="E52" i="4"/>
  <c r="E49" i="4"/>
  <c r="E46" i="4"/>
  <c r="E45" i="4"/>
  <c r="E40" i="4"/>
  <c r="E35" i="4"/>
  <c r="E33" i="4"/>
  <c r="E32" i="4"/>
  <c r="F31" i="4"/>
  <c r="F29" i="4"/>
  <c r="F13" i="4"/>
  <c r="F6" i="4"/>
  <c r="F4" i="4"/>
  <c r="H30" i="4"/>
  <c r="G30" i="4"/>
  <c r="C88" i="4"/>
  <c r="E88" i="4" s="1"/>
  <c r="E76" i="4"/>
  <c r="C53" i="4"/>
  <c r="E53" i="4" s="1"/>
  <c r="Q637" i="3"/>
  <c r="Q636" i="3"/>
  <c r="Q635" i="3"/>
  <c r="F30" i="4" l="1"/>
  <c r="E30" i="4" s="1"/>
  <c r="Q565" i="3"/>
  <c r="Q564" i="3"/>
  <c r="W481" i="3"/>
  <c r="H326" i="3" l="1"/>
  <c r="H325" i="3"/>
  <c r="H324" i="3"/>
  <c r="H323" i="3"/>
  <c r="H322" i="3"/>
  <c r="H321" i="3"/>
  <c r="H320" i="3"/>
  <c r="H302" i="3"/>
  <c r="H301" i="3"/>
  <c r="H300" i="3"/>
  <c r="H299" i="3"/>
  <c r="H297" i="3"/>
  <c r="H296"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R84" i="4"/>
  <c r="S84" i="4" s="1"/>
  <c r="E84" i="13" s="1"/>
  <c r="B59" i="4"/>
  <c r="C80" i="11"/>
  <c r="C81" i="11"/>
  <c r="B80" i="11"/>
  <c r="B81" i="11"/>
  <c r="I96" i="13"/>
  <c r="J96" i="13"/>
  <c r="J81" i="13"/>
  <c r="I81" i="13"/>
  <c r="G81" i="13"/>
  <c r="F81" i="13"/>
  <c r="D81" i="13"/>
  <c r="C81" i="13"/>
  <c r="H80" i="13"/>
  <c r="B80" i="13"/>
  <c r="R80" i="4"/>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1" i="13"/>
  <c r="E87" i="13"/>
  <c r="E79" i="13"/>
  <c r="E65" i="13"/>
  <c r="E49"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E46" i="13" s="1"/>
  <c r="R45" i="4"/>
  <c r="S45" i="4" s="1"/>
  <c r="E45" i="13" s="1"/>
  <c r="R43" i="4"/>
  <c r="S43" i="4" s="1"/>
  <c r="E43" i="13" s="1"/>
  <c r="R41" i="4"/>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J9" i="8" l="1"/>
  <c r="J8" i="8"/>
  <c r="J4" i="8"/>
  <c r="S42" i="4"/>
  <c r="E42" i="13" s="1"/>
  <c r="S38" i="4"/>
  <c r="E38" i="13" s="1"/>
  <c r="S96" i="4"/>
  <c r="E96" i="13" s="1"/>
  <c r="S54" i="4"/>
  <c r="E54" i="13" s="1"/>
  <c r="S81" i="4"/>
  <c r="E81" i="13" s="1"/>
  <c r="G5" i="8"/>
  <c r="G40" i="8" s="1"/>
  <c r="M969" i="3" s="1"/>
  <c r="M970" i="3" s="1"/>
  <c r="J5" i="8"/>
  <c r="J6"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S63" i="4" l="1"/>
  <c r="S97" i="4" s="1"/>
  <c r="AJ634" i="20"/>
  <c r="AK816" i="20" s="1"/>
  <c r="T841" i="20" s="1"/>
  <c r="AF841" i="20" s="1"/>
  <c r="BE82" i="3" s="1"/>
  <c r="G108" i="21"/>
  <c r="J40" i="8"/>
  <c r="Z817" i="3" s="1"/>
  <c r="E6" i="7"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3" i="13" l="1"/>
  <c r="O30" i="21"/>
  <c r="O32" i="21"/>
  <c r="P32" i="21" s="1" a="1"/>
  <c r="P32" i="21" s="1"/>
  <c r="S32" i="21" s="1"/>
  <c r="O31" i="21"/>
  <c r="P31" i="21" s="1" a="1"/>
  <c r="P31" i="21" s="1"/>
  <c r="S31" i="21" s="1"/>
  <c r="O33" i="21"/>
  <c r="P33" i="21" s="1" a="1"/>
  <c r="P33" i="21" s="1"/>
  <c r="S33"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22" i="3" l="1"/>
  <c r="AJ1016" i="3"/>
  <c r="AJ1038" i="3"/>
  <c r="AJ1003" i="3"/>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E67" i="7"/>
  <c r="E68" i="7"/>
  <c r="E66" i="7"/>
  <c r="G68" i="7"/>
  <c r="G66" i="7"/>
  <c r="G67" i="7"/>
  <c r="Y64" i="15"/>
  <c r="Y68" i="15" s="1"/>
  <c r="Y69" i="15" s="1"/>
  <c r="T29" i="15"/>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I68" i="7" l="1"/>
  <c r="I67" i="7"/>
  <c r="I66" i="7"/>
  <c r="AP572" i="20"/>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8" i="7" l="1"/>
  <c r="K66" i="7"/>
  <c r="K67" i="7"/>
  <c r="BE81" i="3"/>
  <c r="Y41" i="15"/>
  <c r="AB56" i="15" s="1"/>
  <c r="M26" i="3" s="1"/>
  <c r="AC53" i="7"/>
  <c r="AA58" i="7"/>
  <c r="U4" i="7"/>
  <c r="S5" i="7"/>
  <c r="M48" i="7"/>
  <c r="M47" i="7"/>
  <c r="M60" i="7"/>
  <c r="O45" i="7"/>
  <c r="O49" i="7"/>
  <c r="K62" i="7"/>
  <c r="Q7" i="7"/>
  <c r="Q11" i="7" s="1"/>
  <c r="Q37" i="7" s="1"/>
  <c r="S6" i="7"/>
  <c r="I70" i="7"/>
  <c r="I72" i="7" s="1"/>
  <c r="W22" i="7"/>
  <c r="W35" i="7" s="1"/>
  <c r="Y15" i="7"/>
  <c r="W9" i="7"/>
  <c r="Y8" i="7"/>
  <c r="M67" i="7" l="1"/>
  <c r="M66" i="7"/>
  <c r="M68" i="7"/>
  <c r="BE19" i="3"/>
  <c r="AE53" i="7"/>
  <c r="AC58" i="7"/>
  <c r="AB57" i="15"/>
  <c r="P204" i="3"/>
  <c r="U5" i="7"/>
  <c r="W4" i="7"/>
  <c r="Q49" i="7"/>
  <c r="Q45" i="7"/>
  <c r="M62" i="7"/>
  <c r="O47" i="7"/>
  <c r="O48" i="7"/>
  <c r="O60" i="7"/>
  <c r="K70" i="7"/>
  <c r="K72" i="7" s="1"/>
  <c r="S7" i="7"/>
  <c r="S11" i="7" s="1"/>
  <c r="S37" i="7" s="1"/>
  <c r="U6" i="7"/>
  <c r="Y22" i="7"/>
  <c r="Y35" i="7" s="1"/>
  <c r="AA15" i="7"/>
  <c r="Y9" i="7"/>
  <c r="AA8" i="7"/>
  <c r="O66" i="7" l="1"/>
  <c r="O67" i="7"/>
  <c r="O68" i="7"/>
  <c r="AG53" i="7"/>
  <c r="AG58" i="7" s="1"/>
  <c r="AE58" i="7"/>
  <c r="AB59" i="15"/>
  <c r="AB77" i="15" s="1"/>
  <c r="AB78" i="15" s="1"/>
  <c r="I10" i="21" s="1"/>
  <c r="M70" i="7"/>
  <c r="M72" i="7" s="1"/>
  <c r="W5" i="7"/>
  <c r="Y4" i="7"/>
  <c r="U7" i="7"/>
  <c r="U11" i="7" s="1"/>
  <c r="U37" i="7" s="1"/>
  <c r="W6" i="7"/>
  <c r="O62" i="7"/>
  <c r="Q60" i="7"/>
  <c r="Q48" i="7"/>
  <c r="Q47" i="7"/>
  <c r="S49" i="7"/>
  <c r="S45" i="7"/>
  <c r="AC15" i="7"/>
  <c r="AA22" i="7"/>
  <c r="AA35" i="7" s="1"/>
  <c r="AC8" i="7"/>
  <c r="AA9" i="7"/>
  <c r="Q68" i="7" l="1"/>
  <c r="Q67" i="7"/>
  <c r="Q66" i="7"/>
  <c r="AB79" i="15"/>
  <c r="AA4" i="7"/>
  <c r="Y5" i="7"/>
  <c r="Y6" i="7"/>
  <c r="W7" i="7"/>
  <c r="W11" i="7" s="1"/>
  <c r="W37" i="7" s="1"/>
  <c r="U45" i="7"/>
  <c r="U49" i="7"/>
  <c r="Q62" i="7"/>
  <c r="S48" i="7"/>
  <c r="S47" i="7"/>
  <c r="S60" i="7"/>
  <c r="O70" i="7"/>
  <c r="O72" i="7" s="1"/>
  <c r="AE15" i="7"/>
  <c r="AC22" i="7"/>
  <c r="AC35" i="7" s="1"/>
  <c r="AC9" i="7"/>
  <c r="AE8" i="7"/>
  <c r="S66" i="7" l="1"/>
  <c r="S68" i="7"/>
  <c r="S67" i="7"/>
  <c r="AB81" i="15"/>
  <c r="J82" i="15" s="1"/>
  <c r="M27" i="3"/>
  <c r="I11" i="21"/>
  <c r="I18" i="21" s="1"/>
  <c r="AA5" i="7"/>
  <c r="AC4" i="7"/>
  <c r="S62" i="7"/>
  <c r="U48" i="7"/>
  <c r="U60" i="7"/>
  <c r="U47" i="7"/>
  <c r="Q70" i="7"/>
  <c r="Q72" i="7" s="1"/>
  <c r="W49" i="7"/>
  <c r="W45" i="7"/>
  <c r="Y7" i="7"/>
  <c r="Y11" i="7" s="1"/>
  <c r="Y37" i="7" s="1"/>
  <c r="AA6" i="7"/>
  <c r="AE22" i="7"/>
  <c r="AE35" i="7" s="1"/>
  <c r="AG15" i="7"/>
  <c r="AG22" i="7" s="1"/>
  <c r="AG35" i="7" s="1"/>
  <c r="AE9" i="7"/>
  <c r="AG8" i="7"/>
  <c r="AG9" i="7" s="1"/>
  <c r="U66" i="7" l="1"/>
  <c r="U67" i="7"/>
  <c r="U68" i="7"/>
  <c r="BE20" i="3"/>
  <c r="H4" i="21"/>
  <c r="P205" i="3"/>
  <c r="S70" i="7"/>
  <c r="S72" i="7" s="1"/>
  <c r="AC5" i="7"/>
  <c r="AE4" i="7"/>
  <c r="AC6" i="7"/>
  <c r="AA7" i="7"/>
  <c r="AA11" i="7" s="1"/>
  <c r="AA37" i="7" s="1"/>
  <c r="U62" i="7"/>
  <c r="Y49" i="7"/>
  <c r="Y45" i="7"/>
  <c r="W60" i="7"/>
  <c r="W47" i="7"/>
  <c r="W48" i="7"/>
  <c r="W68" i="7" l="1"/>
  <c r="W67" i="7"/>
  <c r="W66" i="7"/>
  <c r="AE5" i="7"/>
  <c r="AG4" i="7"/>
  <c r="AA45" i="7"/>
  <c r="AA49" i="7"/>
  <c r="U70" i="7"/>
  <c r="U72" i="7" s="1"/>
  <c r="W62" i="7"/>
  <c r="Y47" i="7"/>
  <c r="Y48" i="7"/>
  <c r="Y60" i="7"/>
  <c r="AE6" i="7"/>
  <c r="AC7" i="7"/>
  <c r="AC11" i="7" s="1"/>
  <c r="AC37" i="7" s="1"/>
  <c r="Y67" i="7" l="1"/>
  <c r="Y66" i="7"/>
  <c r="Y68" i="7"/>
  <c r="AG5" i="7"/>
  <c r="W70" i="7"/>
  <c r="W72" i="7" s="1"/>
  <c r="AA60" i="7"/>
  <c r="AA47" i="7"/>
  <c r="AA48" i="7"/>
  <c r="AC45" i="7"/>
  <c r="AC49" i="7"/>
  <c r="AE7" i="7"/>
  <c r="AE11" i="7" s="1"/>
  <c r="AE37" i="7" s="1"/>
  <c r="AG6" i="7"/>
  <c r="Y62" i="7"/>
  <c r="AA68" i="7" l="1"/>
  <c r="AA67" i="7"/>
  <c r="AA66" i="7"/>
  <c r="Y70" i="7"/>
  <c r="Y72" i="7" s="1"/>
  <c r="AG7" i="7"/>
  <c r="AG11" i="7" s="1"/>
  <c r="AG37" i="7" s="1"/>
  <c r="AE49" i="7"/>
  <c r="AE45" i="7"/>
  <c r="AC60" i="7"/>
  <c r="AC48" i="7"/>
  <c r="AC47" i="7"/>
  <c r="AA62" i="7"/>
  <c r="AC67" i="7" l="1"/>
  <c r="AC66" i="7"/>
  <c r="AC68" i="7"/>
  <c r="AA70" i="7"/>
  <c r="AA72" i="7" s="1"/>
  <c r="AC62" i="7"/>
  <c r="AE47" i="7"/>
  <c r="AE60" i="7"/>
  <c r="AE48" i="7"/>
  <c r="AG49" i="7"/>
  <c r="AG45" i="7"/>
  <c r="AE66" i="7" l="1"/>
  <c r="AE67" i="7"/>
  <c r="AE68" i="7"/>
  <c r="AG48" i="7"/>
  <c r="AG60" i="7"/>
  <c r="AG47" i="7"/>
  <c r="AE62" i="7"/>
  <c r="AC70" i="7"/>
  <c r="AC72" i="7" s="1"/>
  <c r="AG67" i="7" l="1"/>
  <c r="AG68" i="7"/>
  <c r="AG66" i="7"/>
  <c r="AE70" i="7"/>
  <c r="AE72" i="7" s="1"/>
  <c r="AG62"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<sst xmlns="http://schemas.openxmlformats.org/spreadsheetml/2006/main" count="5119" uniqueCount="2804">
  <si>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</si>
  <si>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</si>
  <si>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</si>
  <si>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</si>
  <si>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</si>
  <si>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</si>
  <si>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</si>
  <si>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</si>
  <si>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</si>
  <si>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</si>
  <si>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</si>
  <si>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</si>
  <si>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</si>
  <si>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</si>
  <si>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</si>
  <si>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</si>
  <si>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</si>
  <si>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</si>
  <si>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</si>
  <si>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</si>
  <si>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</si>
  <si>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</si>
  <si>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</si>
  <si>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</si>
  <si>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</si>
  <si>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</si>
  <si>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</si>
  <si>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</si>
  <si>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</si>
  <si>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</si>
  <si>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</si>
  <si>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</si>
  <si>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</si>
  <si>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</si>
  <si>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</si>
  <si>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</si>
  <si>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</si>
  <si>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</si>
  <si>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</si>
  <si>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</si>
  <si>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</si>
  <si>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</si>
  <si>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</si>
  <si>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</si>
  <si>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</si>
  <si>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</si>
  <si>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</si>
  <si>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</si>
  <si>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</si>
  <si>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</si>
  <si>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</si>
  <si>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</si>
  <si>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</si>
  <si>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</si>
  <si>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</si>
  <si>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</si>
  <si>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</si>
  <si>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</si>
  <si>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</si>
  <si>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</si>
  <si>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</si>
  <si>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</si>
  <si>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</si>
  <si>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</si>
  <si>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</si>
  <si>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</si>
  <si>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</si>
  <si>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</si>
  <si>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</si>
  <si>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</si>
  <si>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</si>
  <si>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</si>
  <si>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</si>
  <si>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</si>
  <si>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</si>
  <si>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</si>
  <si>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</si>
  <si>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</si>
  <si>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</si>
  <si>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</si>
  <si>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</si>
  <si>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</si>
  <si>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</si>
  <si>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</si>
  <si>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</si>
  <si>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</si>
  <si>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</si>
  <si>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</si>
  <si>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</si>
  <si>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</si>
  <si>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</si>
  <si>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</si>
  <si>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</si>
  <si>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</si>
  <si>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</si>
  <si>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</si>
  <si>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</si>
  <si>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</si>
  <si>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</si>
  <si>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</si>
  <si>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</si>
  <si>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</si>
  <si>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</si>
  <si>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</si>
  <si>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</si>
  <si>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</si>
  <si>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</si>
  <si>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</si>
  <si>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</si>
  <si>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</si>
  <si>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</si>
  <si>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</si>
  <si>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</si>
  <si>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</si>
  <si>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</si>
  <si>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</si>
  <si>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</si>
  <si>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</si>
  <si>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</si>
  <si>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</si>
  <si>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</si>
  <si>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</si>
  <si>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</si>
  <si>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</si>
  <si>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</si>
  <si>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</si>
  <si>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</si>
  <si>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</si>
  <si>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</si>
  <si>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</si>
  <si>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</si>
  <si>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</si>
  <si>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</si>
  <si>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</si>
  <si>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</si>
  <si>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</si>
  <si>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</si>
  <si>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</si>
  <si>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</si>
  <si>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</si>
  <si>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</si>
  <si>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</si>
  <si>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</si>
  <si>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</si>
  <si>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</si>
  <si>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</si>
  <si>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</si>
  <si>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</si>
  <si>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</si>
  <si>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</si>
  <si>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</si>
  <si>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</si>
  <si>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</si>
  <si>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</si>
  <si>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</si>
  <si>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</si>
  <si>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</si>
  <si>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</si>
  <si>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</si>
  <si>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</si>
  <si>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</si>
  <si>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</si>
  <si>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</si>
  <si>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</si>
  <si>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</si>
  <si>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</si>
  <si>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</si>
  <si>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</si>
  <si>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</si>
  <si>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</si>
  <si>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</si>
  <si>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</si>
  <si>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</si>
  <si>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</si>
  <si>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</si>
  <si>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</si>
  <si>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</si>
  <si>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</si>
  <si>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</si>
  <si>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</si>
  <si>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</si>
  <si>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</si>
  <si>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</si>
  <si>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</si>
  <si>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</si>
  <si>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</si>
  <si>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</si>
  <si>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</si>
  <si>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</si>
  <si>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</si>
  <si>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</si>
  <si>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</si>
  <si>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</si>
  <si>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</si>
  <si>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</si>
  <si>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</si>
  <si>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</si>
  <si>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</si>
  <si>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</si>
  <si>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</si>
  <si>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</si>
  <si>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</si>
  <si>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</si>
  <si>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</si>
  <si>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</si>
  <si>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</si>
  <si>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</si>
  <si>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</si>
  <si>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</si>
  <si>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</si>
  <si>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</si>
  <si>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</si>
  <si>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</si>
  <si>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</si>
  <si>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</si>
  <si>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</si>
  <si>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</si>
  <si>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</si>
  <si>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</si>
  <si>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</si>
  <si>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</si>
  <si>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</si>
  <si>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</si>
  <si>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</si>
  <si>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</si>
  <si>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</si>
  <si>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</si>
  <si>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</si>
  <si>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</si>
  <si>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</si>
  <si>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</si>
  <si>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</si>
  <si>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</si>
  <si>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</si>
  <si>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</si>
  <si>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</si>
  <si>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</si>
  <si>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</si>
  <si>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</si>
  <si>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</si>
  <si>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</si>
  <si>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</si>
  <si>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</si>
  <si>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</si>
  <si>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</si>
  <si>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</si>
  <si>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</si>
  <si>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</si>
  <si>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</si>
  <si>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</si>
  <si>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</si>
  <si>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</si>
  <si>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</si>
  <si>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</si>
  <si>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</si>
  <si>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</si>
  <si>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</si>
  <si>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</si>
  <si>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</si>
  <si>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</si>
  <si>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</si>
  <si>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</si>
  <si>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</si>
  <si>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</si>
  <si>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</si>
  <si>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</si>
  <si>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</si>
  <si>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</si>
  <si>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</si>
  <si>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</si>
  <si>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</si>
  <si>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</si>
  <si>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</si>
  <si>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</si>
  <si>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</si>
  <si>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</si>
  <si>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</si>
  <si>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</si>
  <si>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</si>
  <si>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</si>
  <si>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</si>
  <si>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</si>
  <si>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</si>
  <si>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</si>
  <si>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</si>
  <si>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</si>
  <si>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</si>
  <si>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</si>
  <si>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</si>
  <si>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</si>
  <si>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</si>
  <si>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</si>
  <si>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</si>
  <si>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</si>
  <si>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</si>
  <si>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</si>
  <si>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</si>
  <si>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</si>
  <si>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</si>
  <si>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</si>
  <si>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</si>
  <si>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</si>
  <si>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</si>
  <si>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</si>
  <si>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</si>
  <si>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</si>
  <si>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</si>
  <si>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</si>
  <si>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</si>
  <si>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</si>
  <si>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</si>
  <si>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</si>
  <si>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</si>
  <si>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</si>
  <si>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</si>
  <si>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</si>
  <si>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</si>
  <si>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</si>
  <si>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</si>
  <si>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</si>
  <si>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</si>
  <si>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</si>
  <si>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</si>
  <si>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</si>
  <si>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</si>
  <si>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</si>
  <si>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</si>
  <si>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</si>
  <si>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</si>
  <si>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</si>
  <si>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</si>
  <si>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</si>
  <si>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</si>
  <si>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</si>
  <si>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</si>
  <si>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</si>
  <si>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</si>
  <si>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</si>
  <si>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</si>
  <si>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</si>
  <si>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</si>
  <si>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</si>
  <si>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</si>
  <si>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</si>
  <si>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</si>
  <si>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</si>
  <si>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</si>
  <si>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</si>
  <si>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</si>
  <si>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</si>
  <si>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</si>
  <si>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</si>
  <si>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</si>
  <si>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</si>
  <si>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</si>
  <si>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</si>
  <si>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</si>
  <si>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</si>
  <si>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</si>
  <si>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</si>
  <si>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</si>
  <si>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</si>
  <si>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</si>
  <si>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</si>
  <si>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</si>
  <si>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</si>
  <si>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</si>
  <si>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</si>
  <si>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</si>
  <si>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</si>
  <si>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</si>
  <si>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</si>
  <si>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</si>
  <si>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</si>
  <si>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</si>
  <si>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</si>
  <si>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</si>
  <si>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</si>
  <si>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</si>
  <si>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</si>
  <si>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</si>
  <si>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</si>
  <si>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</si>
  <si>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</si>
  <si>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</si>
  <si>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</si>
  <si>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</si>
  <si>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</si>
  <si>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</si>
  <si>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</si>
  <si>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</si>
  <si>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</si>
  <si>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</si>
  <si>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</si>
  <si>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</si>
  <si>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</si>
  <si>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</si>
  <si>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</si>
  <si>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</si>
  <si>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</si>
  <si>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</si>
  <si>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</si>
  <si>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</si>
  <si>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</si>
  <si>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</si>
  <si>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</si>
  <si>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</si>
  <si>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</si>
  <si>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</si>
  <si>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</si>
  <si>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</si>
  <si>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</si>
  <si>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</si>
  <si>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</si>
  <si>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</si>
  <si>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</si>
  <si>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</si>
  <si>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</si>
  <si>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</si>
  <si>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</si>
  <si>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</si>
  <si>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</si>
  <si>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</si>
  <si>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</si>
  <si>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</si>
  <si>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</si>
  <si>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</si>
  <si>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</si>
  <si>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</si>
  <si>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</si>
  <si>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</si>
  <si>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</si>
  <si>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</si>
  <si>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</si>
  <si>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</si>
  <si>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</si>
  <si>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</si>
  <si>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</si>
  <si>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</si>
  <si>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</si>
  <si>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</si>
  <si>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</si>
  <si>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</si>
  <si>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</si>
  <si>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</si>
  <si>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</si>
  <si>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</si>
  <si>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</si>
  <si>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</si>
  <si>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</si>
  <si>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</si>
  <si>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</si>
  <si>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</si>
  <si>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</si>
  <si>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</si>
  <si>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</si>
  <si>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</si>
  <si>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</si>
  <si>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</si>
  <si>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</si>
  <si>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</si>
  <si>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</si>
  <si>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</si>
  <si>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</si>
  <si>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</si>
  <si>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</si>
  <si>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</si>
  <si>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</si>
  <si>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</si>
  <si>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</si>
  <si>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</si>
  <si>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</si>
  <si>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</si>
  <si>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</si>
  <si>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</si>
  <si>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</si>
  <si>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</si>
  <si>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</si>
  <si>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</si>
  <si>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</si>
  <si>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</si>
  <si>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</si>
  <si>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</si>
  <si>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</si>
  <si>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</si>
  <si>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</si>
  <si>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</si>
  <si>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</si>
  <si>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</si>
  <si>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</si>
  <si>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</si>
  <si>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</si>
  <si>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</si>
  <si>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</si>
  <si>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</si>
  <si>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</si>
  <si>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</si>
  <si>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</si>
  <si>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</si>
  <si>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</si>
  <si>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</si>
  <si>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</si>
  <si>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</si>
  <si>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</si>
  <si>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</si>
  <si>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</si>
  <si>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</si>
  <si>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</si>
  <si>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</si>
  <si>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</si>
  <si>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</si>
  <si>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</si>
  <si>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</si>
  <si>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</si>
  <si>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</si>
  <si>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</si>
  <si>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</si>
  <si>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</si>
  <si>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</si>
  <si>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</si>
  <si>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</si>
  <si>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</si>
  <si>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</si>
  <si>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</si>
  <si>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</si>
  <si>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</si>
  <si>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</si>
  <si>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</si>
  <si>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</si>
  <si>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</si>
  <si>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</si>
  <si>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</si>
  <si>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</si>
  <si>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</si>
  <si>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</si>
  <si>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</si>
  <si>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</si>
  <si>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</si>
  <si>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</si>
  <si>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</si>
  <si>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</si>
  <si>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</si>
  <si>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</si>
  <si>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</si>
  <si>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</si>
  <si>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</si>
  <si>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</si>
  <si>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</si>
  <si>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</si>
  <si>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</si>
  <si>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</si>
  <si>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</si>
  <si>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</si>
  <si>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</si>
  <si>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</si>
  <si>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</si>
  <si>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</si>
  <si>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</si>
  <si>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</si>
  <si>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</si>
  <si>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</si>
  <si>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</si>
  <si>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</si>
  <si>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</si>
  <si>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</si>
  <si>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</si>
  <si>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</si>
  <si>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</si>
  <si>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</si>
  <si>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</si>
  <si>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</si>
  <si>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</si>
  <si>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</si>
  <si>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</si>
  <si>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</si>
  <si>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</si>
  <si>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</si>
  <si>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</si>
  <si>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</si>
  <si>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</si>
  <si>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</si>
  <si>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</si>
  <si>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</si>
  <si>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</si>
  <si>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</si>
  <si>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</si>
  <si>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</si>
  <si>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</si>
  <si>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</si>
  <si>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</si>
  <si>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</si>
  <si>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</si>
  <si>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</si>
  <si>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</si>
  <si>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</si>
  <si>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</si>
  <si>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</si>
  <si>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</si>
  <si>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</si>
  <si>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</si>
  <si>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</si>
  <si>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</si>
  <si>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</si>
  <si>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</si>
  <si>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</si>
  <si>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</si>
  <si>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</si>
  <si>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</si>
  <si>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</si>
  <si>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</si>
  <si>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</si>
  <si>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</si>
  <si>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</si>
  <si>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</si>
  <si>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</si>
  <si>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</si>
  <si>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</si>
  <si>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</si>
  <si>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</si>
  <si>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</si>
  <si>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</si>
  <si>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</si>
  <si>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</si>
  <si>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</si>
  <si>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</si>
  <si>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</si>
  <si>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</si>
  <si>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</si>
  <si>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</si>
  <si>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</si>
  <si>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</si>
  <si>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</si>
  <si>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</si>
  <si>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</si>
  <si>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</si>
  <si>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</si>
  <si>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</si>
  <si>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</si>
  <si>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</si>
  <si>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</si>
  <si>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</si>
  <si>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</si>
  <si>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</si>
  <si>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</si>
  <si>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</si>
  <si>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</si>
  <si>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</si>
  <si>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</si>
  <si>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</si>
  <si>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</si>
  <si>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</si>
  <si>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</si>
  <si>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</si>
  <si>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</si>
  <si>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</si>
  <si>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</si>
  <si>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</si>
  <si>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</si>
  <si>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</si>
  <si>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</si>
  <si>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</si>
  <si>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</si>
  <si>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</si>
  <si>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</si>
  <si>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</si>
  <si>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</si>
  <si>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</si>
  <si>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</si>
  <si>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</si>
  <si>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</si>
  <si>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</si>
  <si>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</si>
  <si>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</si>
  <si>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</si>
  <si>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</si>
  <si>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</si>
  <si>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</si>
  <si>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</si>
  <si>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</si>
  <si>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</si>
  <si>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</si>
  <si>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</si>
  <si>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</si>
  <si>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</si>
  <si>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</si>
  <si>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</si>
  <si>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</si>
  <si>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</si>
  <si>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</si>
  <si>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</si>
  <si>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</si>
  <si>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</si>
  <si>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</si>
  <si>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</si>
  <si>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</si>
  <si>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</si>
  <si>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</si>
  <si>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</si>
  <si>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</si>
  <si>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</si>
  <si>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</si>
  <si>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</si>
  <si>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</si>
  <si>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</si>
  <si>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</si>
  <si>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</si>
  <si>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</si>
  <si>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</si>
  <si>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</si>
  <si>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</si>
  <si>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</si>
  <si>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</si>
  <si>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</si>
  <si>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</si>
  <si>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</si>
  <si>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</si>
  <si>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</si>
  <si>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</si>
  <si>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</si>
  <si>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</si>
  <si>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</si>
  <si>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</si>
  <si>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</si>
  <si>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</si>
  <si>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</si>
  <si>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</si>
  <si>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</si>
  <si>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</si>
  <si>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</si>
  <si>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</si>
  <si>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</si>
  <si>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</si>
  <si>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</si>
  <si>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</si>
  <si>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</si>
  <si>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</si>
  <si>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</si>
  <si>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</si>
  <si>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</si>
  <si>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</si>
  <si>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</si>
  <si>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</si>
  <si>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</si>
  <si>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</si>
  <si>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</si>
  <si>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</si>
  <si>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</si>
  <si>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</si>
  <si>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</si>
  <si>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</si>
  <si>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</si>
  <si>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</si>
  <si>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</si>
  <si>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</si>
  <si>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</si>
  <si>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</si>
  <si>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</si>
  <si>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</si>
  <si>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</si>
  <si>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</si>
  <si>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</si>
  <si>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</si>
  <si>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</si>
  <si>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</si>
  <si>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</si>
  <si>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</si>
  <si>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</si>
  <si>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</si>
  <si>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</si>
  <si>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</si>
  <si>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</si>
  <si>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</si>
  <si>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</si>
  <si>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</si>
  <si>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</si>
  <si>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</si>
  <si>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</si>
  <si>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</si>
  <si>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</si>
  <si>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</si>
  <si>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</si>
  <si>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</si>
  <si>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</si>
  <si>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</si>
  <si>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</si>
  <si>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</si>
  <si>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</si>
  <si>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</si>
  <si>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</si>
  <si>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</si>
  <si>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</si>
  <si>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</si>
  <si>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</si>
  <si>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</si>
  <si>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</si>
  <si>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</si>
  <si>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</si>
  <si>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</si>
  <si>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</si>
  <si>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</si>
  <si>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</si>
  <si>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</si>
  <si>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</si>
  <si>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</si>
  <si>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</si>
  <si>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</si>
  <si>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</si>
  <si>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</si>
  <si>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</si>
  <si>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</si>
  <si>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</si>
  <si>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</si>
  <si>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</si>
  <si>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</si>
  <si>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</si>
  <si>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</si>
  <si>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</si>
  <si>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</si>
  <si>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</si>
  <si>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</si>
  <si>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</si>
  <si>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</si>
  <si>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</si>
  <si>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</si>
  <si>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</si>
  <si>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</si>
  <si>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</si>
  <si>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</si>
  <si>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</si>
  <si>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</si>
  <si>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</si>
  <si>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</si>
  <si>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</si>
  <si>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</si>
  <si>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</si>
  <si>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</si>
  <si>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</si>
  <si>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</si>
  <si>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</si>
  <si>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</si>
  <si>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</si>
  <si>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</si>
  <si>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</si>
  <si>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</si>
  <si>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</si>
  <si>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</si>
  <si>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</si>
  <si>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</si>
  <si>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</si>
  <si>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</si>
  <si>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</si>
  <si>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</si>
  <si>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</si>
  <si>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</si>
  <si>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</si>
  <si>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</si>
  <si>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</si>
  <si>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</si>
  <si>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</si>
  <si>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</si>
  <si>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</si>
  <si>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</si>
  <si>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</si>
  <si>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</si>
  <si>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</si>
  <si>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</si>
  <si>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</si>
  <si>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</si>
  <si>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</si>
  <si>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</si>
  <si>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</si>
  <si>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</si>
  <si>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</si>
  <si>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</si>
  <si>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</si>
  <si>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</si>
  <si>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</si>
  <si>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</si>
  <si>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</si>
  <si>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</si>
  <si>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</si>
  <si>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</si>
  <si>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</si>
  <si>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</si>
  <si>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</si>
  <si>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</si>
  <si>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</si>
  <si>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</si>
  <si>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</si>
  <si>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</si>
  <si>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</si>
  <si>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</si>
  <si>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</si>
  <si>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</si>
  <si>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</si>
  <si>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</si>
  <si>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</si>
  <si>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</si>
  <si>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</si>
  <si>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</si>
  <si>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</si>
  <si>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</si>
  <si>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</si>
  <si>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</si>
  <si>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</si>
  <si>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</si>
  <si>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</si>
  <si>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</si>
  <si>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</si>
  <si>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</si>
  <si>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</si>
  <si>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</si>
  <si>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</si>
  <si>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</si>
  <si>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</si>
  <si>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</si>
  <si>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</si>
  <si>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</si>
  <si>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</si>
  <si>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</si>
  <si>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</si>
  <si>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</si>
  <si>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</si>
  <si>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</si>
  <si>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</si>
  <si>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</si>
  <si>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</si>
  <si>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</si>
  <si>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</si>
  <si>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</si>
  <si>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</si>
  <si>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</si>
  <si>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</si>
  <si>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</si>
  <si>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</si>
  <si>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</si>
  <si>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</si>
  <si>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</si>
  <si>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</si>
  <si>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</si>
  <si>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</si>
  <si>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</si>
  <si>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</si>
  <si>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</si>
  <si>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</si>
  <si>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</si>
  <si>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</si>
  <si>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</si>
  <si>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</si>
  <si>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</si>
  <si>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</si>
  <si>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</si>
  <si>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</si>
  <si>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</si>
  <si>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</si>
  <si>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</si>
  <si>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</si>
  <si>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</si>
  <si>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</si>
  <si>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</si>
  <si>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</si>
  <si>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</si>
  <si>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</si>
  <si>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</si>
  <si>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</si>
  <si>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</si>
  <si>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</si>
  <si>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</si>
  <si>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</si>
  <si>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</si>
  <si>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</si>
  <si>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</si>
  <si>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</si>
  <si>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</si>
  <si>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</si>
  <si>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</si>
  <si>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</si>
  <si>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</si>
  <si>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</si>
  <si>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</si>
  <si>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</si>
  <si>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</si>
  <si>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</si>
  <si>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</si>
  <si>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</si>
  <si>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</si>
  <si>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</si>
  <si>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</si>
  <si>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</si>
  <si>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</si>
  <si>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</si>
  <si>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</si>
  <si>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</si>
  <si>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</si>
  <si>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</si>
  <si>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</si>
  <si>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</si>
  <si>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</si>
  <si>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</si>
  <si>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</si>
  <si>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</si>
  <si>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</si>
  <si>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</si>
  <si>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</si>
  <si>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</si>
  <si>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</si>
  <si>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</si>
  <si>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</si>
  <si>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</si>
  <si>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</si>
  <si>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</si>
  <si>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</si>
  <si>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</si>
  <si>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</si>
  <si>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</si>
  <si>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</si>
  <si>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</si>
  <si>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</si>
  <si>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</si>
  <si>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</si>
  <si>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</si>
  <si>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</si>
  <si>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</si>
  <si>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</si>
  <si>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</si>
  <si>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</si>
  <si>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</si>
  <si>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</si>
  <si>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</si>
  <si>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</si>
  <si>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</si>
  <si>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</si>
  <si>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</si>
  <si>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</si>
  <si>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</si>
  <si>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</si>
  <si>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</si>
  <si>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</si>
  <si>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</si>
  <si>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</si>
  <si>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</si>
  <si>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</si>
  <si>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</si>
  <si>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</si>
  <si>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</si>
  <si>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</si>
  <si>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</si>
  <si>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</si>
  <si>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</si>
  <si>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</si>
  <si>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</si>
  <si>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</si>
  <si>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</si>
  <si>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</si>
  <si>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</si>
  <si>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</si>
  <si>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</si>
  <si>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</si>
  <si>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</si>
  <si>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</si>
  <si>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</si>
  <si>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</si>
  <si>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</si>
  <si>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</si>
  <si>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</si>
  <si>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</si>
  <si>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</si>
  <si>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</si>
  <si>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</si>
  <si>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</si>
  <si>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</si>
  <si>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</si>
  <si>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</si>
  <si>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</si>
  <si>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</si>
  <si>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</si>
  <si>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</si>
  <si>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</si>
  <si>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</si>
  <si>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</si>
  <si>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</si>
  <si>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</si>
  <si>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</si>
  <si>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</si>
  <si>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</si>
  <si>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</si>
  <si>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</si>
  <si>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</si>
  <si>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</si>
  <si>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</si>
  <si>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</si>
  <si>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</si>
  <si>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</si>
  <si>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</si>
  <si>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</si>
  <si>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</si>
  <si>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</si>
  <si>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</si>
  <si>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</si>
  <si>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</si>
  <si>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</si>
  <si>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</si>
  <si>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</si>
  <si>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</si>
  <si>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</si>
  <si>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</si>
  <si>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</si>
  <si>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</si>
  <si>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</si>
  <si>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</si>
  <si>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</si>
  <si>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</si>
  <si>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</si>
  <si>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</si>
  <si>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</si>
  <si>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</si>
  <si>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</si>
  <si>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</si>
  <si>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</si>
  <si>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</si>
  <si>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</si>
  <si>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</si>
  <si>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</si>
  <si>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</si>
  <si>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</si>
  <si>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</si>
  <si>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</si>
  <si>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</si>
  <si>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</si>
  <si>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</si>
  <si>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</si>
  <si>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</si>
  <si>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</si>
  <si>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</si>
  <si>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</si>
  <si>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</si>
  <si>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</si>
  <si>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</si>
  <si>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</si>
  <si>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</si>
  <si>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</si>
  <si>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</si>
  <si>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</si>
  <si>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</si>
  <si>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</si>
  <si>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</si>
  <si>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</si>
  <si>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</si>
  <si>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</si>
  <si>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</si>
  <si>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</si>
  <si>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</si>
  <si>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</si>
  <si>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</si>
  <si>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</si>
  <si>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</si>
  <si>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</si>
  <si>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</si>
  <si>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</si>
  <si>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</si>
  <si>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</si>
  <si>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</si>
  <si>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</si>
  <si>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</si>
  <si>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</si>
  <si>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</si>
  <si>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</si>
  <si>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</si>
  <si>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</si>
  <si>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</si>
  <si>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</si>
  <si>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</si>
  <si>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</si>
  <si>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</si>
  <si>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</si>
  <si>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</si>
  <si>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</si>
  <si>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</si>
  <si>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</si>
  <si>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</si>
  <si>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</si>
  <si>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</si>
  <si>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</si>
  <si>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</si>
  <si>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</si>
  <si>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</si>
  <si>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</si>
  <si>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</si>
  <si>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</si>
  <si>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</si>
  <si>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</si>
  <si>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</si>
  <si>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</si>
  <si>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</si>
  <si>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</si>
  <si>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</si>
  <si>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</si>
  <si>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</si>
  <si>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</si>
  <si>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</si>
  <si>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</si>
  <si>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</si>
  <si>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</si>
  <si>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</si>
  <si>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</si>
  <si>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</si>
  <si>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</si>
  <si>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</si>
  <si>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</si>
  <si>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</si>
  <si>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</si>
  <si>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</si>
  <si>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</si>
  <si>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</si>
  <si>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</si>
  <si>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</si>
  <si>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</si>
  <si>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</si>
  <si>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</si>
  <si>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</si>
  <si>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</si>
  <si>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</si>
  <si>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</si>
  <si>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</si>
  <si>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</si>
  <si>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</si>
  <si>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</si>
  <si>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</si>
  <si>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</si>
  <si>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</si>
  <si>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</si>
  <si>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</si>
  <si>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</si>
  <si>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</si>
  <si>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</si>
  <si>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</si>
  <si>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</si>
  <si>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</si>
  <si>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</si>
  <si>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</si>
  <si>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</si>
  <si>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</si>
  <si>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</si>
  <si>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</si>
  <si>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</si>
  <si>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</si>
  <si>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</si>
  <si>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</si>
  <si>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</si>
  <si>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</si>
  <si>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</si>
  <si>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</si>
  <si>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</si>
  <si>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</si>
  <si>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</si>
  <si>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</si>
  <si>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</si>
  <si>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</si>
  <si>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</si>
  <si>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</si>
  <si>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</si>
  <si>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</si>
  <si>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</si>
  <si>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</si>
  <si>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</si>
  <si>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</si>
  <si>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</si>
  <si>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</si>
  <si>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</si>
  <si>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</si>
  <si>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</si>
  <si>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</si>
  <si>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</si>
  <si>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</si>
  <si>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</si>
  <si>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</si>
  <si>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</si>
  <si>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</si>
  <si>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</si>
  <si>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</si>
  <si>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</si>
  <si>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</si>
  <si>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</si>
  <si>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</si>
  <si>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</si>
  <si>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</si>
  <si>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</si>
  <si>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</si>
  <si>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</si>
  <si>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</si>
  <si>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</si>
  <si>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</si>
  <si>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</si>
  <si>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</si>
  <si>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</si>
  <si>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</si>
  <si>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</si>
  <si>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</si>
  <si>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</si>
  <si>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</si>
  <si>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</si>
  <si>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</si>
  <si>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</si>
  <si>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</si>
  <si>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</si>
  <si>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</si>
  <si>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</si>
  <si>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</si>
  <si>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</si>
  <si>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</si>
  <si>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</si>
  <si>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</si>
  <si>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</si>
  <si>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</si>
  <si>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</si>
  <si>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</si>
  <si>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</si>
  <si>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</si>
  <si>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</si>
  <si>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</si>
  <si>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</si>
  <si>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</si>
  <si>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</si>
  <si>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</si>
  <si>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</si>
  <si>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</si>
  <si>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</si>
  <si>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</si>
  <si>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</si>
  <si>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</si>
  <si>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</si>
  <si>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</si>
  <si>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</si>
  <si>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</si>
  <si>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</si>
  <si>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</si>
  <si>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</si>
  <si>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</si>
  <si>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</si>
  <si>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</si>
  <si>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</si>
  <si>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</si>
  <si>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</si>
  <si>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</si>
  <si>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</si>
  <si>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</si>
  <si>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</si>
  <si>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</si>
  <si>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</si>
  <si>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</si>
  <si>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</si>
  <si>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</si>
  <si>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</si>
  <si>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</si>
  <si>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</si>
  <si>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</si>
  <si>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</si>
  <si>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</si>
  <si>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</si>
  <si>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</si>
  <si>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</si>
  <si>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</si>
  <si>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</si>
  <si>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</si>
  <si>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</si>
  <si>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</si>
  <si>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</si>
  <si>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</si>
  <si>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</si>
  <si>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</si>
  <si>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</si>
  <si>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</si>
  <si>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</si>
  <si>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</si>
  <si>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</si>
  <si>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</si>
  <si>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</si>
  <si>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</si>
  <si>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</si>
  <si>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</si>
  <si>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</si>
  <si>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</si>
  <si>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</si>
  <si>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</si>
  <si>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</si>
  <si>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</si>
  <si>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</si>
  <si>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</si>
  <si>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</si>
  <si>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</si>
  <si>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</si>
  <si>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</si>
  <si>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</si>
  <si>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</si>
  <si>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</si>
  <si>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</si>
  <si>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</si>
  <si>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</si>
  <si>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</si>
  <si>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</si>
  <si>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</si>
  <si>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</si>
  <si>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</si>
  <si>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</si>
  <si>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</si>
  <si>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</si>
  <si>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</si>
  <si>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</si>
  <si>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</si>
  <si>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</si>
  <si>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</si>
  <si>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</si>
  <si>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</si>
  <si>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</si>
  <si>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</si>
  <si>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</si>
  <si>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</si>
  <si>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</si>
  <si>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</si>
  <si>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</si>
  <si>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</si>
  <si>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</si>
  <si>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</si>
  <si>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</si>
  <si>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</si>
  <si>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</si>
  <si>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</si>
  <si>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</si>
  <si>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</si>
  <si>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</si>
  <si>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</si>
  <si>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</si>
  <si>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</si>
  <si>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</si>
  <si>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</si>
  <si>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</si>
  <si>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</si>
  <si>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</si>
  <si>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</si>
  <si>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</si>
  <si>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</si>
  <si>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</si>
  <si>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</si>
  <si>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</si>
  <si>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</si>
  <si>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</si>
  <si>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</si>
  <si>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</si>
  <si>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</si>
  <si>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</si>
  <si>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</si>
  <si>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</si>
  <si>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</si>
  <si>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</si>
  <si>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</si>
  <si>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</si>
  <si>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</si>
  <si>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</si>
  <si>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</si>
  <si>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</si>
  <si>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</si>
  <si>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</si>
  <si>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</si>
  <si>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</si>
  <si>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</si>
  <si>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</si>
  <si>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</si>
  <si>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</si>
  <si>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</si>
  <si>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</si>
  <si>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</si>
  <si>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</si>
  <si>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</si>
  <si>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</si>
  <si>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</si>
  <si>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</si>
  <si>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</si>
  <si>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</si>
  <si>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</si>
  <si>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</si>
  <si>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</si>
  <si>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</si>
  <si>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</si>
  <si>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</si>
  <si>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</si>
  <si>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</si>
  <si>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</si>
  <si>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</si>
  <si>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</si>
  <si>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</si>
  <si>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</si>
  <si>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</si>
  <si>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</si>
  <si>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</si>
  <si>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</si>
  <si>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</si>
  <si>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</si>
  <si>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</si>
  <si>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</si>
  <si>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</si>
  <si>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</si>
  <si>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</si>
  <si>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</si>
  <si>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</si>
  <si>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</si>
  <si>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</si>
  <si>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</si>
  <si>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</si>
  <si>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</si>
  <si>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</si>
  <si>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</si>
  <si>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</si>
  <si>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</si>
  <si>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</si>
  <si>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</si>
  <si>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</si>
  <si>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</si>
  <si>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</si>
  <si>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</si>
  <si>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</si>
  <si>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</si>
  <si>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</si>
  <si>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</si>
  <si>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</si>
  <si>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</si>
  <si>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</si>
  <si>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</si>
  <si>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</si>
  <si>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</si>
  <si>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</si>
  <si>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</si>
  <si>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</si>
  <si>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</si>
  <si>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</si>
  <si>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</si>
  <si>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</si>
  <si>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</si>
  <si>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</si>
  <si>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</si>
  <si>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</si>
  <si>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</si>
  <si>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</si>
  <si>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</si>
  <si>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</si>
  <si>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</si>
  <si>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</si>
  <si>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</si>
  <si>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</si>
  <si>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</si>
  <si>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</si>
  <si>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</si>
  <si>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</si>
  <si>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</si>
  <si>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</si>
  <si>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</si>
  <si>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</si>
  <si>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</si>
  <si>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</si>
  <si>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</si>
  <si>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</si>
  <si>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</si>
  <si>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</si>
  <si>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</si>
  <si>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</si>
  <si>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</si>
  <si>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</si>
  <si>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</si>
  <si>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</si>
  <si>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</si>
  <si>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</si>
  <si>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</si>
  <si>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</si>
  <si>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</si>
  <si>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</si>
  <si>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</si>
  <si>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</si>
  <si>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</si>
  <si>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</si>
  <si>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</si>
  <si>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</si>
  <si>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</si>
  <si>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</si>
  <si>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</si>
  <si>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</si>
  <si>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</si>
  <si>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</si>
  <si>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</si>
  <si>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</si>
  <si>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</si>
  <si>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</si>
  <si>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</si>
  <si>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</si>
  <si>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</si>
  <si>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</si>
  <si>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</si>
  <si>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</si>
  <si>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</si>
  <si>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</si>
  <si>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</si>
  <si>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</si>
  <si>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</si>
  <si>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</si>
  <si>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</si>
  <si>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</si>
  <si>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</si>
  <si>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</si>
  <si>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</si>
  <si>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</si>
  <si>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</si>
  <si>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</si>
  <si>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</si>
  <si>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</si>
  <si>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</si>
  <si>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</si>
  <si>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</si>
  <si>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</si>
  <si>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</si>
  <si>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</si>
  <si>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</si>
  <si>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</si>
  <si>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</si>
  <si>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</si>
  <si>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</si>
  <si>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</si>
  <si>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</si>
  <si>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</si>
  <si>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</si>
  <si>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</si>
  <si>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</si>
  <si>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</si>
  <si>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</si>
  <si>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</si>
  <si>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</si>
  <si>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</si>
  <si>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</si>
  <si>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</si>
  <si>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</si>
  <si>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</si>
  <si>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</si>
  <si>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</si>
  <si>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</si>
  <si>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</si>
  <si>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</si>
  <si>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</si>
  <si>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</si>
  <si>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</si>
  <si>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</si>
  <si>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</si>
  <si>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</si>
  <si>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</si>
  <si>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</si>
  <si>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</si>
  <si>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</si>
  <si>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</si>
  <si>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</si>
  <si>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</si>
  <si>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</si>
  <si>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</si>
  <si>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</si>
  <si>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</si>
  <si>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</si>
  <si>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</si>
  <si>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</si>
  <si>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</si>
  <si>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</si>
  <si>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</si>
  <si>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</si>
  <si>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</si>
  <si>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</si>
  <si>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</si>
  <si>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</si>
  <si>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</si>
  <si>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</si>
  <si>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</si>
  <si>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</si>
  <si>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</si>
  <si>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</si>
  <si>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</si>
  <si>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</si>
  <si>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</si>
  <si>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</si>
  <si>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</si>
  <si>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</si>
  <si>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</si>
  <si>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</si>
  <si>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</si>
  <si>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</si>
  <si>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</si>
  <si>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</si>
  <si>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</si>
  <si>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</si>
  <si>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</si>
  <si>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</si>
  <si>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</si>
  <si>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</si>
  <si>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</si>
  <si>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</si>
  <si>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</si>
  <si>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</si>
  <si>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</si>
  <si>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</si>
  <si>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</si>
  <si>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</si>
  <si>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</si>
  <si>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</si>
  <si>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</si>
  <si>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</si>
  <si>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</si>
  <si>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</si>
  <si>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</si>
  <si>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</si>
  <si>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</si>
  <si>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</si>
  <si>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</si>
  <si>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</si>
  <si>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</si>
  <si>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</si>
  <si>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</si>
  <si>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</si>
  <si>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</si>
  <si>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</si>
  <si>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</si>
  <si>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</si>
  <si>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</si>
  <si>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</si>
  <si>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</si>
  <si>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</si>
  <si>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</si>
  <si>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</si>
  <si>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</si>
  <si>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</si>
  <si>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</si>
  <si>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</si>
  <si>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</si>
  <si>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</si>
  <si>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</si>
  <si>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</si>
  <si>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</si>
  <si>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</si>
  <si>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</si>
  <si>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</si>
  <si>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</si>
  <si>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</si>
  <si>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</si>
  <si>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</si>
  <si>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</si>
  <si>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</si>
  <si>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</si>
  <si>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</si>
  <si>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</si>
  <si>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</si>
  <si>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</si>
  <si>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</si>
  <si>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</si>
  <si>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</si>
  <si>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</si>
  <si>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</si>
  <si>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</si>
  <si>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</si>
  <si>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</si>
  <si>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</si>
  <si>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</si>
  <si>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</si>
  <si>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</si>
  <si>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</si>
  <si>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</si>
  <si>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</si>
  <si>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</si>
  <si>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</si>
  <si>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</si>
  <si>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</si>
  <si>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</si>
  <si>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</si>
  <si>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</si>
  <si>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</si>
  <si>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</si>
  <si>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</si>
  <si>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</si>
  <si>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</si>
  <si>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</si>
  <si>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</si>
  <si>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</si>
  <si>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</si>
  <si>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</si>
  <si>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</si>
  <si>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</si>
  <si>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</si>
  <si>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</si>
  <si>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</si>
  <si>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</si>
  <si>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</si>
  <si>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</si>
  <si>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</si>
  <si>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</si>
  <si>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</si>
  <si>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</si>
  <si>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</si>
  <si>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</si>
  <si>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</si>
  <si>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</si>
  <si>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</si>
  <si>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</si>
  <si>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</si>
  <si>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</si>
  <si>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</si>
  <si>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</si>
  <si>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</si>
  <si>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</si>
  <si>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</si>
  <si>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</si>
  <si>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</si>
  <si>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</si>
  <si>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</si>
  <si>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</si>
  <si>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</si>
  <si>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</si>
  <si>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</si>
  <si>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</si>
  <si>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</si>
  <si>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</si>
  <si>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</si>
  <si>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</si>
  <si>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</si>
  <si>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</si>
  <si>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</si>
  <si>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</si>
  <si>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</si>
  <si>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</si>
  <si>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</si>
  <si>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</si>
  <si>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</si>
  <si>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</si>
  <si>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</si>
  <si>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</si>
  <si>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</si>
  <si>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</si>
  <si>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</si>
  <si>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</si>
  <si>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</si>
  <si>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</si>
  <si>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</si>
  <si>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</si>
  <si>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</si>
  <si>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</si>
  <si>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</si>
  <si>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</si>
  <si>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</si>
  <si>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</si>
  <si>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</si>
  <si>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</si>
  <si>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</si>
  <si>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</si>
  <si>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</si>
  <si>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</si>
  <si>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</si>
  <si>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</si>
  <si>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</si>
  <si>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</si>
  <si>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</si>
  <si>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</si>
  <si>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</si>
  <si>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</si>
  <si>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</si>
  <si>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</si>
  <si>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</si>
  <si>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</si>
  <si>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</si>
  <si>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</si>
  <si>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</si>
  <si>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</si>
  <si>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</si>
  <si>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</si>
  <si>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</si>
  <si>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</si>
  <si>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</si>
  <si>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</si>
  <si>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</si>
  <si>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</si>
  <si>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</si>
  <si>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</si>
  <si>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</si>
  <si>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</si>
  <si>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</si>
  <si>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</si>
  <si>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</si>
  <si>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</si>
  <si>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</si>
  <si>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</si>
  <si>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</si>
  <si>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</si>
  <si>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</si>
  <si>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</si>
  <si>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</si>
  <si>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</si>
  <si>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</si>
  <si>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</si>
  <si>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</si>
  <si>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</si>
  <si>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</si>
  <si>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</si>
  <si>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</si>
  <si>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</si>
  <si>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</si>
  <si>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</si>
  <si>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</si>
  <si>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</si>
  <si>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</si>
  <si>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</si>
  <si>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</si>
  <si>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</si>
  <si>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</si>
  <si>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</si>
  <si>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</si>
  <si>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</si>
  <si>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</si>
  <si>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</si>
  <si>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</si>
  <si>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</si>
  <si>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</si>
  <si>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</si>
  <si>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</si>
  <si>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</si>
  <si>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</si>
  <si>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</si>
  <si>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</si>
  <si>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</si>
  <si>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</si>
  <si>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</si>
  <si>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</si>
  <si>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</si>
  <si>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</si>
  <si>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</si>
  <si>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</si>
  <si>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</si>
  <si>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</si>
  <si>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</si>
  <si>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</si>
  <si>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</si>
  <si>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</si>
  <si>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</si>
  <si>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</si>
  <si>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</si>
  <si>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</si>
  <si>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</si>
  <si>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</si>
  <si>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</si>
  <si>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</si>
  <si>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</si>
  <si>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</si>
  <si>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</si>
  <si>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</si>
  <si>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</si>
  <si>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</si>
  <si>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</si>
  <si>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</si>
  <si>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</si>
  <si>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</si>
  <si>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</si>
  <si>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</si>
  <si>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</si>
  <si>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</si>
  <si>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</si>
  <si>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</si>
  <si>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</si>
  <si>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</si>
  <si>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</si>
  <si>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</si>
  <si>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</si>
  <si>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</si>
  <si>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</si>
  <si>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</si>
  <si>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</si>
  <si>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</si>
  <si>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</si>
  <si>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</si>
  <si>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</si>
  <si>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</si>
  <si>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</si>
  <si>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</si>
  <si>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</si>
  <si>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</si>
  <si>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</si>
  <si>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</si>
  <si>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</si>
  <si>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</si>
  <si>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</si>
  <si>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</si>
  <si>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</si>
  <si>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</si>
  <si>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</si>
  <si>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</si>
  <si>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</si>
  <si>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</si>
  <si>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</si>
  <si>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</si>
  <si>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</si>
  <si>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</si>
  <si>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</si>
  <si>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</si>
  <si>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</si>
  <si>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</si>
  <si>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</si>
  <si>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</si>
  <si>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</si>
  <si>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</si>
  <si>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</si>
  <si>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</si>
  <si>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</si>
  <si>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</si>
  <si>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</si>
  <si>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</si>
  <si>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</si>
  <si>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</si>
  <si>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</si>
  <si>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</si>
  <si>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</si>
  <si>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</si>
  <si>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</si>
  <si>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</si>
  <si>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</si>
  <si>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</si>
  <si>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</si>
  <si>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</si>
  <si>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</si>
  <si>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</si>
  <si>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</si>
  <si>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</si>
  <si>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</si>
  <si>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</si>
  <si>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</si>
  <si>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</si>
  <si>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</si>
  <si>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</si>
  <si>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</si>
  <si>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</si>
  <si>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</si>
  <si>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</si>
  <si>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</si>
  <si>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</si>
  <si>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</si>
  <si>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</si>
  <si>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</si>
  <si>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</si>
  <si>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</si>
  <si>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</si>
  <si>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</si>
  <si>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</si>
  <si>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</si>
  <si>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</si>
  <si>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</si>
  <si>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</si>
  <si>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</si>
  <si>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</si>
  <si>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</si>
  <si>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</si>
  <si>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</si>
  <si>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</si>
  <si>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</si>
  <si>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</si>
  <si>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</si>
  <si>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</si>
  <si>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</si>
  <si>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</si>
  <si>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</si>
  <si>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</si>
  <si>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</si>
  <si>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</si>
  <si>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</si>
  <si>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</si>
  <si>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</si>
  <si>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</si>
  <si>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</si>
  <si>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</si>
  <si>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</si>
  <si>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</si>
  <si>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</si>
  <si>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</si>
  <si>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</si>
  <si>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</si>
  <si>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</si>
  <si>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</si>
  <si>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</si>
  <si>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</si>
  <si>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</si>
  <si>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</si>
  <si>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</si>
  <si>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</si>
  <si>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</si>
  <si>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</si>
  <si>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</si>
  <si>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</si>
  <si>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</si>
  <si>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</si>
  <si>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</si>
  <si>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</si>
  <si>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</si>
  <si>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</si>
  <si>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</si>
  <si>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</si>
  <si>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</si>
  <si>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</si>
  <si>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</si>
  <si>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</si>
  <si>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</si>
  <si>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</si>
  <si>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</si>
  <si>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</si>
  <si>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</si>
  <si>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</si>
  <si>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</si>
  <si>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</si>
  <si>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</si>
  <si>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</si>
  <si>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</si>
  <si>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</si>
  <si>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</si>
  <si>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</si>
  <si>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</si>
  <si>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</si>
  <si>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</si>
  <si>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</si>
  <si>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</si>
  <si>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</si>
  <si>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</si>
  <si>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</si>
  <si>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</si>
  <si>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</si>
  <si>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</si>
  <si>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</si>
  <si>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</si>
  <si>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</si>
  <si>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</si>
  <si>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</si>
  <si>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</si>
  <si>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</si>
  <si>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</si>
  <si>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</si>
  <si>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</si>
  <si>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</si>
  <si>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</si>
  <si>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</si>
  <si>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</si>
  <si>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</si>
  <si>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</si>
  <si>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</si>
  <si>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</si>
  <si>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</si>
  <si>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</si>
  <si>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</si>
  <si>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</si>
  <si>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</si>
  <si>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</si>
  <si>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</si>
  <si>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</si>
  <si>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</si>
  <si>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</si>
  <si>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</si>
  <si>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</si>
  <si>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</si>
  <si>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</si>
  <si>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</si>
  <si>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</si>
  <si>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</si>
  <si>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</si>
  <si>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</si>
  <si>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</si>
  <si>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</si>
  <si>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</si>
  <si>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</si>
  <si>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</si>
  <si>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</si>
  <si>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</si>
  <si>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</si>
  <si>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</si>
  <si>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</si>
  <si>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</si>
  <si>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</si>
  <si>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</si>
  <si>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</si>
  <si>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</si>
  <si>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</si>
  <si>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</si>
  <si>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</si>
  <si>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</si>
  <si>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</si>
  <si>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</si>
  <si>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</si>
  <si>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</si>
  <si>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</si>
  <si>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</si>
  <si>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</si>
  <si>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</si>
  <si>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</si>
  <si>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</si>
  <si>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</si>
  <si>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</si>
  <si>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</si>
  <si>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</si>
  <si>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</si>
  <si>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</si>
  <si>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</si>
  <si>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</si>
  <si>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</si>
  <si>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</si>
  <si>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</si>
  <si>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</si>
  <si>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</si>
  <si>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</si>
  <si>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</si>
  <si>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</si>
  <si>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</si>
  <si>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</si>
  <si>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</si>
  <si>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</si>
  <si>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</si>
  <si>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</si>
  <si>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</si>
  <si>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</si>
  <si>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</si>
  <si>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</si>
  <si>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</si>
  <si>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</si>
  <si>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</si>
  <si>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</si>
  <si>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</si>
  <si>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</si>
  <si>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</si>
  <si>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</si>
  <si>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</si>
  <si>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</si>
  <si>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</si>
  <si>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</si>
  <si>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</si>
  <si>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</si>
  <si>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</si>
  <si>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</si>
  <si>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</si>
  <si>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</si>
  <si>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</si>
  <si>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</si>
  <si>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</si>
  <si>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</si>
  <si>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</si>
  <si>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</si>
  <si>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</si>
  <si>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</si>
  <si>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</si>
  <si>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</si>
  <si>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</si>
  <si>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</si>
  <si>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</si>
  <si>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</si>
  <si>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</si>
  <si>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</si>
  <si>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</si>
  <si>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</si>
  <si>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</si>
  <si>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</si>
  <si>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</si>
  <si>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</si>
  <si>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</si>
  <si>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</si>
  <si>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</si>
  <si>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</si>
  <si>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</si>
  <si>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</si>
  <si>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</si>
  <si>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</si>
  <si>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</si>
  <si>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</si>
  <si>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</si>
  <si>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</si>
  <si>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</si>
  <si>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</si>
  <si>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</si>
  <si>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</si>
  <si>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</si>
  <si>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</si>
  <si>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</si>
  <si>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</si>
  <si>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</si>
  <si>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</si>
  <si>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</si>
  <si>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</si>
  <si>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</si>
  <si>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</si>
  <si>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</si>
  <si>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</si>
  <si>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</si>
  <si>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</si>
  <si>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</si>
  <si>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</si>
  <si>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</si>
  <si>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</si>
  <si>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</si>
  <si>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</si>
  <si>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</si>
  <si>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</si>
  <si>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</si>
  <si>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</si>
  <si>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</si>
  <si>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</si>
  <si>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</si>
  <si>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</si>
  <si>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</si>
  <si>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</si>
  <si>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</si>
  <si>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</si>
  <si>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</si>
  <si>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</si>
  <si>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</si>
  <si>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</si>
  <si>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</si>
  <si>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</si>
  <si>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</si>
  <si>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</si>
  <si>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</si>
  <si>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</si>
  <si>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</si>
  <si>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</si>
  <si>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</si>
  <si>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</si>
  <si>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</si>
  <si>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</si>
  <si>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</si>
  <si>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</si>
  <si>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</si>
  <si>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</si>
  <si>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</si>
  <si>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</si>
  <si>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</si>
  <si>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</si>
  <si>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</si>
  <si>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</si>
  <si>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</si>
  <si>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</si>
  <si>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</si>
  <si>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</si>
  <si>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</si>
  <si>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</si>
  <si>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</si>
  <si>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</si>
  <si>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</si>
  <si>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</si>
  <si>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</si>
  <si>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</si>
  <si>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</si>
  <si>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</si>
  <si>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</si>
  <si>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</si>
  <si>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</si>
  <si>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</si>
  <si>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</si>
  <si>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</si>
  <si>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</si>
  <si>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</si>
  <si>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</si>
  <si>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</si>
  <si>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</si>
  <si>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</si>
  <si>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</si>
  <si>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</si>
  <si>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</si>
  <si>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</si>
  <si>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</si>
  <si>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</si>
  <si>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</si>
  <si>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</si>
  <si>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</si>
  <si>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</si>
  <si>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</si>
  <si>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</si>
  <si>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</si>
  <si>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</si>
  <si>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</si>
  <si>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</si>
  <si>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</si>
  <si>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</si>
  <si>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</si>
  <si>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</si>
  <si>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</si>
  <si>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</si>
  <si>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</si>
  <si>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</si>
  <si>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</si>
  <si>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</si>
  <si>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</si>
  <si>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</si>
  <si>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</si>
  <si>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</si>
  <si>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</si>
  <si>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</si>
  <si>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</si>
  <si>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</si>
  <si>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</si>
  <si>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</si>
  <si>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</si>
  <si>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</si>
  <si>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</si>
  <si>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</si>
  <si>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</si>
  <si>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</si>
  <si>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</si>
  <si>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</si>
  <si>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</si>
  <si>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</si>
  <si>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</si>
  <si>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</si>
  <si>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</si>
  <si>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</si>
  <si>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</si>
  <si>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</si>
  <si>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</si>
  <si>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</si>
  <si>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</si>
  <si>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</si>
  <si>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</si>
  <si>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</si>
  <si>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</si>
  <si>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</si>
  <si>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</si>
  <si>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</si>
  <si>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</si>
  <si>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</si>
  <si>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</si>
  <si>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</si>
  <si>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</si>
  <si>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</si>
  <si>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</si>
  <si>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</si>
  <si>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</si>
  <si>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</si>
  <si>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</si>
  <si>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</si>
  <si>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</si>
  <si>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</si>
  <si>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</si>
  <si>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</si>
  <si>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</si>
  <si>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</si>
  <si>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</si>
  <si>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</si>
  <si>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</si>
  <si>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</si>
  <si>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</si>
  <si>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</si>
  <si>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</si>
  <si>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</si>
  <si>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</si>
  <si>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</si>
  <si>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</si>
  <si>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</si>
  <si>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</si>
  <si>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</si>
  <si>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</si>
  <si>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</si>
  <si>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</si>
  <si>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</si>
  <si>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</si>
  <si>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</si>
  <si>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</si>
  <si>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</si>
  <si>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</si>
  <si>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</si>
  <si>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</si>
  <si>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</si>
  <si>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</si>
  <si>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</si>
  <si>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</si>
  <si>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</si>
  <si>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</si>
  <si>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</si>
  <si>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</si>
  <si>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</si>
  <si>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</si>
  <si>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</si>
  <si>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</si>
  <si>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</si>
  <si>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</si>
  <si>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</si>
  <si>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</si>
  <si>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</si>
  <si>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</si>
  <si>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</si>
  <si>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</si>
  <si>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</si>
  <si>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</si>
  <si>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</si>
  <si>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</si>
  <si>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</si>
  <si>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</si>
  <si>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</si>
  <si>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</si>
  <si>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</si>
  <si>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</si>
  <si>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</si>
  <si>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</si>
  <si>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</si>
  <si>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</si>
  <si>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</si>
  <si>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</si>
  <si>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</si>
  <si>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</si>
  <si>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</si>
  <si>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</si>
  <si>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</si>
  <si>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</si>
  <si>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</si>
  <si>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</si>
  <si>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</si>
  <si>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</si>
  <si>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</si>
  <si>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</si>
  <si>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</si>
  <si>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</si>
  <si>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</si>
  <si>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</si>
  <si>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</si>
  <si>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</si>
  <si>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</si>
  <si>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</si>
  <si>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</si>
  <si>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</si>
  <si>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</si>
  <si>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</si>
  <si>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</si>
  <si>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</si>
  <si>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</si>
  <si>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</si>
  <si>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</si>
  <si>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</si>
  <si>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</si>
  <si>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</si>
  <si>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</si>
  <si>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</si>
  <si>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</si>
  <si>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</si>
  <si>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</si>
  <si>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</si>
  <si>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</si>
  <si>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</si>
  <si>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</si>
  <si>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</si>
  <si>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</si>
  <si>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</si>
  <si>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</si>
  <si>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</si>
  <si>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</si>
  <si>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</si>
  <si>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</si>
  <si>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</si>
  <si>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</si>
  <si>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</si>
  <si>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</si>
  <si>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</si>
  <si>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</si>
  <si>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</si>
  <si>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</si>
  <si>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</si>
  <si>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</si>
  <si>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</si>
  <si>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</si>
  <si>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</si>
  <si>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</si>
  <si>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</si>
  <si>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</si>
  <si>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</si>
  <si>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</si>
  <si>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</si>
  <si>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</si>
  <si>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</si>
  <si>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</si>
  <si>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</si>
  <si>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</si>
  <si>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</si>
  <si>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</si>
  <si>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</si>
  <si>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</si>
  <si>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</si>
  <si>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</si>
  <si>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</si>
  <si>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</si>
  <si>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</si>
  <si>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</si>
  <si>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</si>
  <si>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</si>
  <si>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</si>
  <si>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</si>
  <si>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</si>
  <si>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</si>
  <si>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</si>
  <si>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</si>
  <si>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</si>
  <si>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</si>
  <si>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</si>
  <si>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</si>
  <si>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</si>
  <si>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</si>
  <si>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</si>
  <si>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</si>
  <si>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</si>
  <si>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</si>
  <si>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</si>
  <si>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</si>
  <si>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</si>
  <si>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</si>
  <si>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</si>
  <si>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</si>
  <si>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</si>
  <si>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</si>
  <si>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</si>
  <si>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</si>
  <si>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</si>
  <si>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</si>
  <si>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</si>
  <si>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</si>
  <si>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</si>
  <si>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</si>
  <si>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</si>
  <si>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</si>
  <si>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</si>
  <si>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</si>
  <si>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</si>
  <si>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</si>
  <si>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</si>
  <si>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</si>
  <si>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</si>
  <si>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</si>
  <si>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</si>
  <si>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</si>
  <si>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</si>
  <si>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</si>
  <si>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</si>
  <si>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</si>
  <si>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</si>
  <si>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</si>
  <si>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</si>
  <si>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</si>
  <si>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</si>
  <si>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</si>
  <si>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</si>
  <si>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</si>
  <si>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</si>
  <si>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Oak &amp; Ivy</t>
  </si>
  <si>
    <t>Arcadia</t>
  </si>
  <si>
    <t>NA</t>
  </si>
  <si>
    <t>4217 East Live Oak Avenue</t>
  </si>
  <si>
    <t>11673 George Cooke Express Drive</t>
  </si>
  <si>
    <t>CA</t>
  </si>
  <si>
    <t>AHG Arcadia LLC</t>
  </si>
  <si>
    <t>858-679-2828</t>
  </si>
  <si>
    <t>james@affirmedhousing.con</t>
  </si>
  <si>
    <t>Affirmed Housing Group, Inc.</t>
  </si>
  <si>
    <t>Martin Rubalcava</t>
  </si>
  <si>
    <t>martin@affirmedhousing.com</t>
  </si>
  <si>
    <t>Developer</t>
  </si>
  <si>
    <t>San Diego,CA 92127</t>
  </si>
  <si>
    <t>Katten Muchin Rosenman, LLP</t>
  </si>
  <si>
    <t>Los Angeles, CA 90067</t>
  </si>
  <si>
    <t>Davin Cohen</t>
  </si>
  <si>
    <t>312-902-5284</t>
  </si>
  <si>
    <t>312-902-1061</t>
  </si>
  <si>
    <t>David.Cohen@katten.com</t>
  </si>
  <si>
    <t>Novogradac and Company LLP</t>
  </si>
  <si>
    <t>Sun-Ae Woo</t>
  </si>
  <si>
    <t>925-949-4223</t>
  </si>
  <si>
    <t>Sun-Ae.Woo@novoco.com</t>
  </si>
  <si>
    <t>AC Martin, Inc.</t>
  </si>
  <si>
    <t>900 Wilshire Blvd, Suite 2800</t>
  </si>
  <si>
    <t>Los Angeles, CA 90017</t>
  </si>
  <si>
    <t>Tom Greer</t>
  </si>
  <si>
    <t>213-553-1100</t>
  </si>
  <si>
    <t>tgreer@tca-arch.com</t>
  </si>
  <si>
    <t>Redwood Energy</t>
  </si>
  <si>
    <t>1887 Q Street</t>
  </si>
  <si>
    <t>Arcata, CA 95521</t>
  </si>
  <si>
    <t>714-234-7573</t>
  </si>
  <si>
    <t>Sean Armstrong</t>
  </si>
  <si>
    <t>sean@redwoodenergy.net</t>
  </si>
  <si>
    <t>KVG</t>
  </si>
  <si>
    <t>3901 S 147 St, Suite 144</t>
  </si>
  <si>
    <t>Omaha, NE 68144</t>
  </si>
  <si>
    <t>Jay Wortmann</t>
  </si>
  <si>
    <t>402-202-0771</t>
  </si>
  <si>
    <t>jay@kvgteam.com</t>
  </si>
  <si>
    <t>the site is currently vacant</t>
  </si>
  <si>
    <t>Alhambra, CA 91801</t>
  </si>
  <si>
    <t>Matt Lust</t>
  </si>
  <si>
    <t>626-586-1809</t>
  </si>
  <si>
    <t>matthew.lust@lacda.org</t>
  </si>
  <si>
    <t>Los Angeles County Development Authority</t>
  </si>
  <si>
    <t>Lovelle E. Hatch, Trustee of The Hatch Family Trust</t>
  </si>
  <si>
    <t>Lovelle E. Hatch</t>
  </si>
  <si>
    <t>2129 S. Santa Anita Avenue Arcadis, CA 91006</t>
  </si>
  <si>
    <t>Trustee</t>
  </si>
  <si>
    <t>Inner City Infill Site</t>
  </si>
  <si>
    <t>Costs Deferred Until Perm</t>
  </si>
  <si>
    <t>Tax Exempt Bond Amount</t>
  </si>
  <si>
    <t>Taxable Bond Amount</t>
  </si>
  <si>
    <t>County Funds - NPLH</t>
  </si>
  <si>
    <t>County Funds -General Funds AHTF</t>
  </si>
  <si>
    <t>Construction Loan</t>
  </si>
  <si>
    <t>Taxable Construction Loan</t>
  </si>
  <si>
    <t>LIHTC Equity</t>
  </si>
  <si>
    <t>San Diego, CA 92127</t>
  </si>
  <si>
    <t>Mellody Lock</t>
  </si>
  <si>
    <t>959-386-5179</t>
  </si>
  <si>
    <t>cost deferred until conversion</t>
  </si>
  <si>
    <t>700 West Main Street</t>
  </si>
  <si>
    <t>Beatriz Lopez</t>
  </si>
  <si>
    <t>626-586-1931</t>
  </si>
  <si>
    <t>County Funds - AHTF</t>
  </si>
  <si>
    <t>GP Equity</t>
  </si>
  <si>
    <t>General Office Costs)</t>
  </si>
  <si>
    <t>(payroll burden/taxes)</t>
  </si>
  <si>
    <t>(cleaning &amp; building supplies)</t>
  </si>
  <si>
    <t>(parcel pending)</t>
  </si>
  <si>
    <t>(AC)</t>
  </si>
  <si>
    <t>LACDA</t>
  </si>
  <si>
    <t>Project-based vouchers (PBVs)</t>
  </si>
  <si>
    <t>916-335-4214</t>
  </si>
  <si>
    <t>City of Arcadia</t>
  </si>
  <si>
    <t>8511-029-018</t>
  </si>
  <si>
    <t>40%/60%</t>
  </si>
  <si>
    <t>TBD</t>
  </si>
  <si>
    <t>Yes, 13X Buildable Area - 85' Max</t>
  </si>
  <si>
    <t>CG (General Commcercial)</t>
  </si>
  <si>
    <t xml:space="preserve">C-3 - 126 Units (Base-50 du/ac)+(80% Density Bonus)+(115% Density Bonus) </t>
  </si>
  <si>
    <t>N/A (AB 2097)</t>
  </si>
  <si>
    <t>16601 Ventura Blvd, Suite 200</t>
  </si>
  <si>
    <t>Encino, CA 91436</t>
  </si>
  <si>
    <t>Jacob St. Onge</t>
  </si>
  <si>
    <t>415-658-3118</t>
  </si>
  <si>
    <t>SOFR</t>
  </si>
  <si>
    <t>Soft Financing (County Funds)</t>
  </si>
  <si>
    <t>Perm Loan - Tranche B Loan</t>
  </si>
  <si>
    <t>Variable</t>
  </si>
  <si>
    <t>Fixed</t>
  </si>
  <si>
    <t>Recontributed Developer Fee</t>
  </si>
  <si>
    <t>Other (LACDA Bond Monitoring):</t>
  </si>
  <si>
    <t>Other (LACDA Annual Soft Fund Monitoring):</t>
  </si>
  <si>
    <t>LA County Development Authority (NPLH)</t>
  </si>
  <si>
    <t>LA County Development Authority (AHTF)</t>
  </si>
  <si>
    <t>Other: Construction Managemenr, Lender Inspections</t>
  </si>
  <si>
    <t>Other: Interest Prior to Conversion (T.E. &amp; Taxable)</t>
  </si>
  <si>
    <t>Other: Partnership &amp; Transaction</t>
  </si>
  <si>
    <t>County - NPLH Transition Reserve &amp; Covenant Fee</t>
  </si>
  <si>
    <t>Other: Lease-Up Fees (PSH)</t>
  </si>
  <si>
    <t>Other: Utility Connection Fee</t>
  </si>
  <si>
    <t>Local - Approved by ED</t>
  </si>
  <si>
    <t>AHG Arcadia LLC managed by Affirmed Housing Group, Inc</t>
  </si>
  <si>
    <t>The John Stewart Company</t>
  </si>
  <si>
    <t xml:space="preserve">888 S. Figueroa Street Suite 400 </t>
  </si>
  <si>
    <t>Tony Ramirez</t>
  </si>
  <si>
    <t>213-787-2700</t>
  </si>
  <si>
    <t>aramirez@jsco.net</t>
  </si>
  <si>
    <t>Above residual receipts line for cash flow</t>
  </si>
  <si>
    <t>Annual Payment to NPLH Flex Op Reserves</t>
  </si>
  <si>
    <t>Annual Payment to LA County for AHTF</t>
  </si>
  <si>
    <t>Annual Payment to Affirmed</t>
  </si>
  <si>
    <t>LA County Development Authority (LACDA) - NOFA 30 &amp; NOFA 31</t>
  </si>
  <si>
    <t>Compass for Affordable Housing</t>
  </si>
  <si>
    <t>17190 Bernardo Center Dr., Suite 200</t>
  </si>
  <si>
    <t>Robin Martinez</t>
  </si>
  <si>
    <t>858-386-7211</t>
  </si>
  <si>
    <t>Robin@compassfah.org</t>
  </si>
  <si>
    <t>Administrative GP</t>
  </si>
  <si>
    <t>James Silverwood</t>
  </si>
  <si>
    <t>CFAH Housing LLC</t>
  </si>
  <si>
    <t>Compass For Affordable Housing</t>
  </si>
  <si>
    <t>Kingdom AC LLC</t>
  </si>
  <si>
    <t>Managing GP</t>
  </si>
  <si>
    <t>6451 Box Springs Road</t>
  </si>
  <si>
    <t>William Leach</t>
  </si>
  <si>
    <t>951-538-6244</t>
  </si>
  <si>
    <t>William@kingdomdevelopment.net</t>
  </si>
  <si>
    <t>Kingdom Development, Inc.</t>
  </si>
  <si>
    <t>C-3 - 95 Units</t>
  </si>
  <si>
    <t xml:space="preserve">State Prevailing Wage - No Place Like Home (LACDA NOFA 31)
Davis Bacon Wages - 100% PBV Units </t>
  </si>
  <si>
    <t>Greg Gertach</t>
  </si>
  <si>
    <t>Box 60021</t>
  </si>
  <si>
    <t>(626)574-5418</t>
  </si>
  <si>
    <t>1255 Treat Blvd, Suite 410</t>
  </si>
  <si>
    <t>Walnut Creek, Ca 94597</t>
  </si>
  <si>
    <t>2029 Century Park East, Suite 2600</t>
  </si>
  <si>
    <t>700 W. Main St.</t>
  </si>
  <si>
    <t>Not Applicable - Owner pays all utilities</t>
  </si>
  <si>
    <t>One Building, 6, stories. 95 Units</t>
  </si>
  <si>
    <t>LA County Development Authority - NOFA 31</t>
  </si>
  <si>
    <t>LA County Development Authority - NOFA 30</t>
  </si>
  <si>
    <t>CTCAC/CDLAC Joint Application</t>
  </si>
  <si>
    <t>Raymond James Tax Credit Fund</t>
  </si>
  <si>
    <t>5420 La Jolla Blvd, #B104</t>
  </si>
  <si>
    <t>La Jolla, CA 92037</t>
  </si>
  <si>
    <t>Kevin Kilbane</t>
  </si>
  <si>
    <t>216-509-1342</t>
  </si>
  <si>
    <t>Conventional Perm Loan</t>
  </si>
  <si>
    <t>Raymond James Affordable Housing Investments</t>
  </si>
  <si>
    <t>St. Petersburg, FL 33716</t>
  </si>
  <si>
    <t>880 Carillon Parkway</t>
  </si>
  <si>
    <t>Olivia Makram</t>
  </si>
  <si>
    <t>727-567-2154</t>
  </si>
  <si>
    <t>olivia.makram@raymondjames.com</t>
  </si>
  <si>
    <t>Secured by Fee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</si>
</sst>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0">
    <xf numFmtId="0" fontId="0" fillId="0" borderId="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90" fillId="36" borderId="18" applyNumberFormat="0" applyAlignment="0" applyProtection="0"/>
    <xf numFmtId="0" fontId="90" fillId="36" borderId="18" applyNumberFormat="0" applyAlignment="0" applyProtection="0"/>
    <xf numFmtId="0" fontId="91" fillId="37" borderId="19"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9"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80" fillId="0" borderId="0" applyFont="0" applyFill="0" applyBorder="0" applyAlignment="0" applyProtection="0"/>
    <xf numFmtId="44" fontId="28" fillId="0" borderId="0" applyFont="0" applyFill="0" applyBorder="0" applyAlignment="0" applyProtection="0"/>
    <xf numFmtId="44" fontId="82"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28"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3" fillId="0" borderId="0" applyFont="0" applyFill="0" applyBorder="0" applyAlignment="0" applyProtection="0"/>
    <xf numFmtId="44" fontId="28"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9"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7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78" fillId="0" borderId="0" applyFont="0" applyFill="0" applyBorder="0" applyAlignment="0" applyProtection="0"/>
    <xf numFmtId="44" fontId="28" fillId="0" borderId="0" applyFont="0" applyFill="0" applyBorder="0" applyAlignment="0" applyProtection="0"/>
    <xf numFmtId="0" fontId="92" fillId="0" borderId="0" applyNumberFormat="0" applyFill="0" applyBorder="0" applyAlignment="0" applyProtection="0"/>
    <xf numFmtId="0" fontId="93" fillId="38" borderId="0" applyNumberFormat="0" applyBorder="0" applyAlignment="0" applyProtection="0"/>
    <xf numFmtId="0" fontId="94" fillId="0" borderId="20" applyNumberFormat="0" applyFill="0" applyAlignment="0" applyProtection="0"/>
    <xf numFmtId="0" fontId="94" fillId="0" borderId="20" applyNumberFormat="0" applyFill="0" applyAlignment="0" applyProtection="0"/>
    <xf numFmtId="0" fontId="95" fillId="0" borderId="21" applyNumberFormat="0" applyFill="0" applyAlignment="0" applyProtection="0"/>
    <xf numFmtId="0" fontId="95" fillId="0" borderId="21" applyNumberFormat="0" applyFill="0" applyAlignment="0" applyProtection="0"/>
    <xf numFmtId="0" fontId="96" fillId="0" borderId="22" applyNumberFormat="0" applyFill="0" applyAlignment="0" applyProtection="0"/>
    <xf numFmtId="0" fontId="96" fillId="0" borderId="22"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applyNumberFormat="0" applyFill="0" applyBorder="0" applyAlignment="0" applyProtection="0">
      <alignment vertical="top"/>
      <protection locked="0"/>
    </xf>
    <xf numFmtId="0" fontId="9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98" fillId="0" borderId="23" applyNumberFormat="0" applyFill="0" applyAlignment="0" applyProtection="0"/>
    <xf numFmtId="0" fontId="99" fillId="40"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69" fontId="64" fillId="0" borderId="0"/>
    <xf numFmtId="0" fontId="87" fillId="0" borderId="0"/>
    <xf numFmtId="0" fontId="28" fillId="0" borderId="0"/>
    <xf numFmtId="0" fontId="28" fillId="0" borderId="0"/>
    <xf numFmtId="0" fontId="69" fillId="0" borderId="0"/>
    <xf numFmtId="0" fontId="63" fillId="0" borderId="0"/>
    <xf numFmtId="0" fontId="69" fillId="0" borderId="0"/>
    <xf numFmtId="0" fontId="63" fillId="0" borderId="0"/>
    <xf numFmtId="0" fontId="75"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5"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5" fillId="0" borderId="0"/>
    <xf numFmtId="0" fontId="63" fillId="0" borderId="0">
      <alignment vertical="top"/>
    </xf>
    <xf numFmtId="0" fontId="87" fillId="0" borderId="0"/>
    <xf numFmtId="0" fontId="87" fillId="0" borderId="0"/>
    <xf numFmtId="0" fontId="87" fillId="0" borderId="0"/>
    <xf numFmtId="0" fontId="87" fillId="0" borderId="0"/>
    <xf numFmtId="0" fontId="75" fillId="0" borderId="0"/>
    <xf numFmtId="0" fontId="28" fillId="0" borderId="0"/>
    <xf numFmtId="0" fontId="87" fillId="0" borderId="0"/>
    <xf numFmtId="0" fontId="28"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87"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63" fillId="0" borderId="0">
      <alignment vertical="top"/>
    </xf>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28" fillId="0" borderId="0"/>
    <xf numFmtId="0" fontId="87" fillId="0" borderId="0"/>
    <xf numFmtId="0" fontId="87" fillId="0" borderId="0"/>
    <xf numFmtId="0" fontId="87" fillId="0" borderId="0"/>
    <xf numFmtId="0" fontId="19" fillId="0" borderId="0" applyProtection="0">
      <protection locked="0"/>
    </xf>
    <xf numFmtId="0" fontId="28" fillId="0" borderId="0" applyProtection="0">
      <protection locked="0"/>
    </xf>
    <xf numFmtId="0" fontId="28" fillId="0" borderId="0" applyProtection="0">
      <protection locked="0"/>
    </xf>
    <xf numFmtId="0" fontId="64" fillId="0" borderId="0"/>
    <xf numFmtId="0" fontId="19" fillId="0" borderId="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79"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87" fillId="41" borderId="24" applyNumberFormat="0" applyFont="0" applyAlignment="0" applyProtection="0"/>
    <xf numFmtId="0" fontId="102" fillId="36" borderId="25" applyNumberFormat="0" applyAlignment="0" applyProtection="0"/>
    <xf numFmtId="0" fontId="102" fillId="36" borderId="25" applyNumberFormat="0" applyAlignment="0" applyProtection="0"/>
    <xf numFmtId="0" fontId="24" fillId="0" borderId="0" applyNumberFormat="0" applyFill="0" applyBorder="0">
      <alignment horizontal="left"/>
    </xf>
    <xf numFmtId="0" fontId="103" fillId="0" borderId="0" applyNumberFormat="0" applyFill="0" applyBorder="0" applyAlignment="0" applyProtection="0"/>
    <xf numFmtId="0" fontId="104" fillId="0" borderId="26" applyNumberFormat="0" applyFill="0" applyAlignment="0" applyProtection="0"/>
    <xf numFmtId="0" fontId="104" fillId="0" borderId="26" applyNumberFormat="0" applyFill="0" applyAlignment="0" applyProtection="0"/>
    <xf numFmtId="0" fontId="10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11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79" fillId="41" borderId="24" applyNumberFormat="0" applyFont="0" applyAlignment="0" applyProtection="0"/>
    <xf numFmtId="0" fontId="11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0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22" fillId="0" borderId="0" applyFont="0" applyFill="0" applyBorder="0" applyAlignment="0" applyProtection="0"/>
    <xf numFmtId="0" fontId="12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4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5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8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63" fillId="0" borderId="0">
      <alignment vertical="top"/>
    </xf>
    <xf numFmtId="0" fontId="63" fillId="0" borderId="0">
      <alignment vertical="top"/>
    </xf>
    <xf numFmtId="0" fontId="2" fillId="0" borderId="0"/>
    <xf numFmtId="0" fontId="2" fillId="0" borderId="0"/>
    <xf numFmtId="0" fontId="63" fillId="0" borderId="0">
      <alignment vertical="top"/>
    </xf>
    <xf numFmtId="0" fontId="190" fillId="0" borderId="0">
      <alignment vertical="top"/>
    </xf>
    <xf numFmtId="0" fontId="63" fillId="0" borderId="0">
      <alignment vertical="top"/>
    </xf>
    <xf numFmtId="0" fontId="63" fillId="0" borderId="0">
      <alignment vertical="top"/>
    </xf>
    <xf numFmtId="0" fontId="19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7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63" fillId="0" borderId="0">
      <alignment vertical="top"/>
    </xf>
    <xf numFmtId="0" fontId="63" fillId="0" borderId="0">
      <alignment vertical="top"/>
    </xf>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0" fontId="101" fillId="0" borderId="0"/>
    <xf numFmtId="0" fontId="79" fillId="41" borderId="24" applyNumberFormat="0" applyFont="0" applyAlignment="0" applyProtection="0"/>
    <xf numFmtId="0" fontId="7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9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5">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28" fillId="0" borderId="0" xfId="0" applyFont="1" applyAlignment="1">
      <alignment horizontal="center"/>
    </xf>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28" fillId="0" borderId="0" xfId="0" applyFont="1" applyAlignment="1">
      <alignment horizontal="left" vertical="top" wrapText="1"/>
    </xf>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8" fillId="0" borderId="0" xfId="0" applyFont="1" applyAlignment="1">
      <alignment horizontal="left" indent="4"/>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0" fontId="39" fillId="0" borderId="0" xfId="543"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8" fillId="0" borderId="0" xfId="0" applyFont="1"/>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28" fillId="0" borderId="0" xfId="0" applyFont="1" applyAlignment="1">
      <alignment horizontal="right"/>
    </xf>
    <xf numFmtId="0" fontId="42" fillId="0" borderId="0" xfId="0" applyFont="1"/>
    <xf numFmtId="0" fontId="28" fillId="0" borderId="0" xfId="0" applyFont="1" applyAlignment="1">
      <alignment horizontal="left"/>
    </xf>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8" fillId="0" borderId="11" xfId="0" applyFont="1"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0" fontId="28" fillId="0" borderId="3" xfId="0" applyFont="1" applyBorder="1"/>
    <xf numFmtId="0" fontId="28" fillId="0" borderId="0" xfId="543" applyFont="1"/>
    <xf numFmtId="0" fontId="44" fillId="0" borderId="0" xfId="543" applyFont="1"/>
    <xf numFmtId="49" fontId="19" fillId="0" borderId="0" xfId="543" applyNumberFormat="1"/>
    <xf numFmtId="0" fontId="42" fillId="0" borderId="0" xfId="543" applyFont="1"/>
    <xf numFmtId="168" fontId="39" fillId="0" borderId="6" xfId="543" applyNumberFormat="1" applyFont="1" applyBorder="1" applyAlignment="1">
      <alignment horizontal="left"/>
    </xf>
    <xf numFmtId="168" fontId="39" fillId="0" borderId="6" xfId="543" applyNumberFormat="1" applyFont="1" applyBorder="1" applyAlignment="1">
      <alignment horizontal="center"/>
    </xf>
    <xf numFmtId="0" fontId="19" fillId="0" borderId="8" xfId="543" applyBorder="1"/>
    <xf numFmtId="0" fontId="39" fillId="0" borderId="0" xfId="543" applyFont="1" applyAlignment="1">
      <alignment horizontal="center"/>
    </xf>
    <xf numFmtId="0" fontId="38" fillId="0" borderId="9" xfId="543" applyFont="1" applyBorder="1" applyAlignment="1">
      <alignment horizontal="left" vertical="top" wrapText="1"/>
    </xf>
    <xf numFmtId="0" fontId="38" fillId="0" borderId="6" xfId="543" applyFont="1" applyBorder="1" applyAlignment="1">
      <alignment horizontal="center" vertical="top" wrapText="1"/>
    </xf>
    <xf numFmtId="0" fontId="19" fillId="0" borderId="9" xfId="543" applyBorder="1"/>
    <xf numFmtId="0" fontId="19" fillId="0" borderId="10" xfId="543" applyBorder="1"/>
    <xf numFmtId="0" fontId="19" fillId="0" borderId="1" xfId="543" applyBorder="1"/>
    <xf numFmtId="0" fontId="39" fillId="0" borderId="2" xfId="543" applyFont="1" applyBorder="1" applyAlignment="1">
      <alignment horizontal="center"/>
    </xf>
    <xf numFmtId="0" fontId="41" fillId="0" borderId="8" xfId="543" applyFont="1" applyBorder="1" applyAlignment="1">
      <alignment horizontal="left" vertical="top" wrapText="1"/>
    </xf>
    <xf numFmtId="0" fontId="38" fillId="0" borderId="0" xfId="543" applyFont="1" applyAlignment="1">
      <alignment horizontal="center" vertical="top" wrapText="1"/>
    </xf>
    <xf numFmtId="0" fontId="19" fillId="0" borderId="12" xfId="543" applyBorder="1"/>
    <xf numFmtId="0" fontId="41" fillId="0" borderId="0" xfId="543" applyFont="1" applyAlignment="1">
      <alignment horizontal="center" vertical="top" wrapText="1"/>
    </xf>
    <xf numFmtId="0" fontId="41" fillId="0" borderId="9" xfId="543" applyFont="1" applyBorder="1" applyAlignment="1">
      <alignment horizontal="left" vertical="top" wrapText="1"/>
    </xf>
    <xf numFmtId="0" fontId="19" fillId="0" borderId="2" xfId="543" applyBorder="1"/>
    <xf numFmtId="0" fontId="19" fillId="0" borderId="7" xfId="543" applyBorder="1"/>
    <xf numFmtId="0" fontId="38" fillId="0" borderId="0" xfId="543" applyFont="1"/>
    <xf numFmtId="0" fontId="19" fillId="0" borderId="0" xfId="543" applyAlignment="1">
      <alignment horizontal="center"/>
    </xf>
    <xf numFmtId="0" fontId="27" fillId="0" borderId="6" xfId="543" applyFont="1" applyBorder="1" applyAlignment="1">
      <alignment vertical="top" wrapText="1"/>
    </xf>
    <xf numFmtId="0" fontId="28" fillId="0" borderId="0" xfId="0" applyFont="1" applyAlignment="1">
      <alignment horizontal="left" vertical="top"/>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9"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41" fillId="0" borderId="4" xfId="543" applyFont="1" applyBorder="1" applyAlignment="1">
      <alignment horizontal="right" vertical="top" wrapText="1"/>
    </xf>
    <xf numFmtId="0" fontId="28" fillId="0" borderId="6" xfId="0" applyFont="1" applyBorder="1"/>
    <xf numFmtId="0" fontId="28" fillId="0" borderId="2" xfId="0" applyFont="1" applyBorder="1"/>
    <xf numFmtId="0" fontId="28" fillId="0" borderId="7" xfId="0" applyFont="1" applyBorder="1"/>
    <xf numFmtId="0" fontId="28" fillId="0" borderId="12" xfId="0" applyFont="1" applyBorder="1"/>
    <xf numFmtId="0" fontId="28" fillId="0" borderId="9" xfId="0" applyFont="1" applyBorder="1"/>
    <xf numFmtId="0" fontId="28" fillId="0" borderId="10" xfId="0" applyFont="1"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28" fillId="0" borderId="0" xfId="0" applyFont="1" applyAlignment="1">
      <alignment vertical="top"/>
    </xf>
    <xf numFmtId="0" fontId="28" fillId="0" borderId="0" xfId="0" applyFont="1" applyAlignment="1">
      <alignment vertical="top" wrapText="1"/>
    </xf>
    <xf numFmtId="0" fontId="19" fillId="0" borderId="0" xfId="0" applyFont="1" applyAlignment="1">
      <alignment horizontal="left"/>
    </xf>
    <xf numFmtId="0" fontId="19" fillId="0" borderId="0" xfId="0" applyFont="1" applyAlignment="1">
      <alignment vertical="top"/>
    </xf>
    <xf numFmtId="0" fontId="48"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51" fillId="0" borderId="0" xfId="0" applyFont="1"/>
    <xf numFmtId="0" fontId="28" fillId="0" borderId="4" xfId="0" applyFont="1" applyBorder="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8" fillId="0" borderId="6"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28" fillId="0" borderId="0" xfId="0" applyFont="1" applyAlignment="1">
      <alignment horizontal="left" vertical="center"/>
    </xf>
    <xf numFmtId="0" fontId="56" fillId="0" borderId="3" xfId="0" applyFont="1" applyBorder="1" applyAlignment="1">
      <alignment horizontal="left" vertical="top"/>
    </xf>
    <xf numFmtId="0" fontId="56" fillId="0" borderId="13" xfId="0" applyFont="1" applyBorder="1" applyAlignment="1">
      <alignment horizontal="center" wrapText="1"/>
    </xf>
    <xf numFmtId="0" fontId="56" fillId="0" borderId="13" xfId="0" applyFont="1" applyBorder="1" applyAlignment="1">
      <alignment horizontal="center" vertical="top" wrapText="1"/>
    </xf>
    <xf numFmtId="0" fontId="56" fillId="2" borderId="13" xfId="0" applyFont="1" applyFill="1" applyBorder="1" applyAlignment="1">
      <alignment horizontal="center" wrapText="1"/>
    </xf>
    <xf numFmtId="0" fontId="57" fillId="2" borderId="11" xfId="0" applyFont="1" applyFill="1" applyBorder="1" applyAlignment="1">
      <alignment horizontal="left" vertical="top" wrapText="1"/>
    </xf>
    <xf numFmtId="0" fontId="58" fillId="4" borderId="11" xfId="0"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58" fillId="5" borderId="11" xfId="0" applyNumberFormat="1" applyFont="1" applyFill="1" applyBorder="1" applyAlignment="1" applyProtection="1">
      <alignment vertical="top" wrapText="1"/>
      <protection locked="0"/>
    </xf>
    <xf numFmtId="168" fontId="58" fillId="6" borderId="11" xfId="0" applyNumberFormat="1" applyFont="1" applyFill="1" applyBorder="1" applyAlignment="1">
      <alignment horizontal="center"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8" fillId="4" borderId="11" xfId="0" applyNumberFormat="1"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22" fillId="0" borderId="11" xfId="0" applyFont="1" applyBorder="1" applyAlignment="1">
      <alignment horizontal="right" vertical="top" wrapText="1"/>
    </xf>
    <xf numFmtId="0" fontId="58" fillId="0" borderId="11" xfId="0" applyFont="1" applyBorder="1" applyAlignment="1" applyProtection="1">
      <alignment horizontal="right" vertical="top" wrapText="1"/>
      <protection locked="0"/>
    </xf>
    <xf numFmtId="0" fontId="56" fillId="0" borderId="0" xfId="0" applyFont="1" applyAlignment="1">
      <alignment horizontal="left" vertical="top"/>
    </xf>
    <xf numFmtId="0" fontId="58" fillId="0" borderId="0" xfId="0" applyFont="1" applyAlignment="1">
      <alignment horizontal="left" vertical="top"/>
    </xf>
    <xf numFmtId="0" fontId="58" fillId="0" borderId="0" xfId="0" applyFont="1" applyAlignment="1">
      <alignment vertical="top" wrapText="1"/>
    </xf>
    <xf numFmtId="0" fontId="58" fillId="0" borderId="0" xfId="0" applyFont="1" applyAlignment="1">
      <alignment vertical="top"/>
    </xf>
    <xf numFmtId="0" fontId="56" fillId="0" borderId="0" xfId="0" applyFont="1" applyAlignment="1">
      <alignment horizontal="right" vertical="top"/>
    </xf>
    <xf numFmtId="0" fontId="58" fillId="2" borderId="0" xfId="0" applyFont="1" applyFill="1" applyAlignment="1">
      <alignment vertical="top" wrapText="1"/>
    </xf>
    <xf numFmtId="0" fontId="56" fillId="0" borderId="0" xfId="0" applyFont="1" applyAlignment="1">
      <alignment vertical="top"/>
    </xf>
    <xf numFmtId="166" fontId="28" fillId="0" borderId="0" xfId="0" applyNumberFormat="1" applyFont="1" applyAlignment="1">
      <alignment horizontal="left"/>
    </xf>
    <xf numFmtId="0" fontId="59" fillId="0" borderId="0" xfId="0" applyFont="1"/>
    <xf numFmtId="0" fontId="19" fillId="0" borderId="0" xfId="244" applyFont="1" applyFill="1" applyBorder="1" applyAlignment="1" applyProtection="1">
      <alignment horizontal="left"/>
    </xf>
    <xf numFmtId="0" fontId="50" fillId="0" borderId="0" xfId="0" applyFont="1"/>
    <xf numFmtId="0" fontId="50"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9" fillId="0" borderId="0" xfId="0" applyFont="1"/>
    <xf numFmtId="0" fontId="61" fillId="0" borderId="0" xfId="0" applyFont="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53" fillId="0" borderId="0" xfId="0" applyFont="1" applyAlignment="1">
      <alignment horizontal="center"/>
    </xf>
    <xf numFmtId="168" fontId="28" fillId="0" borderId="0" xfId="0" applyNumberFormat="1" applyFont="1" applyAlignment="1">
      <alignment horizontal="center"/>
    </xf>
    <xf numFmtId="168" fontId="38" fillId="0" borderId="0" xfId="0" applyNumberFormat="1" applyFont="1" applyAlignment="1">
      <alignment horizontal="left" vertical="top" wrapText="1"/>
    </xf>
    <xf numFmtId="0" fontId="55" fillId="0" borderId="3" xfId="0" applyFont="1" applyBorder="1"/>
    <xf numFmtId="168" fontId="0" fillId="0" borderId="0" xfId="0" applyNumberFormat="1" applyAlignment="1">
      <alignment horizontal="center"/>
    </xf>
    <xf numFmtId="0" fontId="39" fillId="0" borderId="0" xfId="0" applyFont="1" applyAlignment="1">
      <alignment vertical="top" wrapText="1"/>
    </xf>
    <xf numFmtId="0" fontId="56" fillId="0" borderId="4" xfId="0" applyFont="1" applyBorder="1" applyAlignment="1">
      <alignment horizontal="right"/>
    </xf>
    <xf numFmtId="0" fontId="63" fillId="0" borderId="0" xfId="0" applyFont="1"/>
    <xf numFmtId="3" fontId="28" fillId="0" borderId="0" xfId="0" applyNumberFormat="1" applyFont="1" applyAlignment="1">
      <alignment horizontal="center"/>
    </xf>
    <xf numFmtId="168" fontId="19" fillId="0" borderId="0" xfId="0" applyNumberFormat="1" applyFont="1" applyAlignment="1">
      <alignment horizontal="left" vertical="top"/>
    </xf>
    <xf numFmtId="168" fontId="28" fillId="0" borderId="0" xfId="0" applyNumberFormat="1" applyFont="1" applyAlignment="1">
      <alignment horizontal="left" vertical="top"/>
    </xf>
    <xf numFmtId="0" fontId="58" fillId="0" borderId="11" xfId="0" applyFont="1" applyBorder="1" applyAlignment="1">
      <alignment horizontal="right" vertical="top"/>
    </xf>
    <xf numFmtId="0" fontId="58" fillId="0" borderId="0" xfId="0" applyFont="1" applyAlignment="1">
      <alignment horizontal="right" vertical="top" wrapText="1"/>
    </xf>
    <xf numFmtId="0" fontId="58" fillId="2" borderId="12" xfId="0" applyFont="1" applyFill="1" applyBorder="1" applyAlignment="1">
      <alignment vertical="top" wrapText="1"/>
    </xf>
    <xf numFmtId="0" fontId="58" fillId="0" borderId="14" xfId="0" applyFont="1" applyBorder="1" applyAlignment="1">
      <alignment vertical="top" wrapText="1"/>
    </xf>
    <xf numFmtId="168" fontId="58" fillId="5" borderId="11" xfId="0" applyNumberFormat="1" applyFont="1" applyFill="1" applyBorder="1" applyAlignment="1" applyProtection="1">
      <alignment vertical="top"/>
      <protection locked="0"/>
    </xf>
    <xf numFmtId="0" fontId="58" fillId="2" borderId="11" xfId="0" applyFont="1" applyFill="1" applyBorder="1" applyAlignment="1" applyProtection="1">
      <alignment vertical="top"/>
      <protection locked="0"/>
    </xf>
    <xf numFmtId="0" fontId="58" fillId="0" borderId="11" xfId="0" applyFont="1" applyBorder="1" applyAlignment="1" applyProtection="1">
      <alignment vertical="top"/>
      <protection locked="0"/>
    </xf>
    <xf numFmtId="168" fontId="58" fillId="0" borderId="11" xfId="0" applyNumberFormat="1" applyFont="1" applyBorder="1" applyAlignment="1">
      <alignment vertical="top"/>
    </xf>
    <xf numFmtId="168" fontId="58" fillId="6" borderId="11" xfId="0" applyNumberFormat="1" applyFont="1" applyFill="1" applyBorder="1" applyAlignment="1">
      <alignment horizontal="center" vertical="top"/>
    </xf>
    <xf numFmtId="0" fontId="26" fillId="0" borderId="0" xfId="542" applyFont="1" applyProtection="1">
      <protection locked="0"/>
    </xf>
    <xf numFmtId="0" fontId="19" fillId="0" borderId="0" xfId="539" applyProtection="1"/>
    <xf numFmtId="0" fontId="39" fillId="8" borderId="0" xfId="539" applyFont="1" applyFill="1" applyAlignment="1" applyProtection="1">
      <alignment horizontal="centerContinuous"/>
    </xf>
    <xf numFmtId="0" fontId="26" fillId="0" borderId="0" xfId="543" applyFont="1"/>
    <xf numFmtId="0" fontId="28" fillId="0" borderId="0" xfId="543" applyFont="1" applyAlignment="1">
      <alignment horizontal="left"/>
    </xf>
    <xf numFmtId="0" fontId="28" fillId="0" borderId="15" xfId="0" applyFont="1" applyBorder="1"/>
    <xf numFmtId="2" fontId="42" fillId="0" borderId="11" xfId="0" applyNumberFormat="1" applyFont="1" applyBorder="1"/>
    <xf numFmtId="0" fontId="19" fillId="0" borderId="0" xfId="0" applyFont="1" applyProtection="1">
      <protection locked="0"/>
    </xf>
    <xf numFmtId="0" fontId="66"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41" fillId="0" borderId="0" xfId="543" applyFont="1" applyAlignment="1">
      <alignment horizontal="right" vertical="top" wrapText="1"/>
    </xf>
    <xf numFmtId="0" fontId="39" fillId="0" borderId="2" xfId="543" applyFont="1" applyBorder="1" applyAlignment="1">
      <alignment horizontal="right" vertical="top" wrapText="1"/>
    </xf>
    <xf numFmtId="0" fontId="24" fillId="0" borderId="0" xfId="0" applyFont="1"/>
    <xf numFmtId="0" fontId="68" fillId="0" borderId="0" xfId="0" applyFont="1"/>
    <xf numFmtId="0" fontId="66" fillId="0" borderId="0" xfId="0" applyFont="1"/>
    <xf numFmtId="0" fontId="39"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67" fillId="0" borderId="0" xfId="0" applyFont="1"/>
    <xf numFmtId="168" fontId="24" fillId="0" borderId="0" xfId="0" applyNumberFormat="1" applyFont="1"/>
    <xf numFmtId="10" fontId="24" fillId="0" borderId="0" xfId="0" applyNumberFormat="1" applyFont="1" applyAlignment="1">
      <alignment horizontal="center"/>
    </xf>
    <xf numFmtId="3" fontId="70" fillId="0" borderId="0" xfId="0" applyNumberFormat="1" applyFont="1"/>
    <xf numFmtId="3" fontId="24" fillId="0" borderId="0" xfId="0" applyNumberFormat="1" applyFont="1"/>
    <xf numFmtId="168" fontId="67" fillId="0" borderId="0" xfId="0" applyNumberFormat="1" applyFont="1"/>
    <xf numFmtId="168" fontId="67"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10" fontId="28" fillId="0" borderId="0" xfId="0" applyNumberFormat="1" applyFont="1" applyAlignment="1">
      <alignment horizontal="center"/>
    </xf>
    <xf numFmtId="3" fontId="28" fillId="0" borderId="0" xfId="0" applyNumberFormat="1" applyFont="1" applyAlignment="1">
      <alignment vertical="top"/>
    </xf>
    <xf numFmtId="10" fontId="26" fillId="0" borderId="0" xfId="0" applyNumberFormat="1" applyFont="1" applyAlignment="1">
      <alignment horizontal="center"/>
    </xf>
    <xf numFmtId="0" fontId="66" fillId="0" borderId="6" xfId="0" applyFont="1" applyBorder="1" applyAlignment="1">
      <alignment horizontal="center"/>
    </xf>
    <xf numFmtId="172" fontId="28" fillId="0" borderId="0" xfId="0" applyNumberFormat="1" applyFont="1" applyAlignment="1">
      <alignment horizontal="center"/>
    </xf>
    <xf numFmtId="10" fontId="71" fillId="0" borderId="0" xfId="0" applyNumberFormat="1" applyFont="1" applyAlignment="1">
      <alignment horizontal="center"/>
    </xf>
    <xf numFmtId="0" fontId="28" fillId="9" borderId="6" xfId="0" applyFont="1" applyFill="1" applyBorder="1"/>
    <xf numFmtId="0" fontId="28" fillId="0" borderId="4" xfId="271" applyBorder="1"/>
    <xf numFmtId="0" fontId="28" fillId="0" borderId="6" xfId="271" applyBorder="1"/>
    <xf numFmtId="0" fontId="28" fillId="0" borderId="1" xfId="0" applyFont="1" applyBorder="1"/>
    <xf numFmtId="168" fontId="28" fillId="0" borderId="3" xfId="0" applyNumberFormat="1" applyFont="1" applyBorder="1" applyAlignment="1">
      <alignment vertical="top"/>
    </xf>
    <xf numFmtId="168" fontId="28" fillId="0" borderId="4" xfId="0" applyNumberFormat="1" applyFont="1" applyBorder="1" applyAlignment="1">
      <alignment vertical="top"/>
    </xf>
    <xf numFmtId="168" fontId="28" fillId="0" borderId="5" xfId="0" applyNumberFormat="1" applyFont="1" applyBorder="1" applyAlignment="1">
      <alignment vertical="top"/>
    </xf>
    <xf numFmtId="168" fontId="28" fillId="0" borderId="8" xfId="0" applyNumberFormat="1" applyFont="1" applyBorder="1" applyAlignment="1">
      <alignment vertical="top"/>
    </xf>
    <xf numFmtId="168" fontId="28" fillId="0" borderId="0" xfId="0" applyNumberFormat="1" applyFont="1" applyAlignment="1">
      <alignment vertical="top"/>
    </xf>
    <xf numFmtId="0" fontId="28" fillId="0" borderId="0" xfId="0" applyFont="1" applyAlignment="1">
      <alignment horizontal="right" vertical="top"/>
    </xf>
    <xf numFmtId="0" fontId="28"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8" fillId="5" borderId="4" xfId="0" applyFont="1" applyFill="1" applyBorder="1" applyAlignment="1" applyProtection="1">
      <alignment horizontal="left" vertical="top"/>
      <protection locked="0"/>
    </xf>
    <xf numFmtId="0" fontId="28" fillId="5" borderId="5" xfId="0" applyFont="1" applyFill="1" applyBorder="1" applyAlignment="1" applyProtection="1">
      <alignment horizontal="left" vertical="top"/>
      <protection locked="0"/>
    </xf>
    <xf numFmtId="4" fontId="53" fillId="0" borderId="0" xfId="0" applyNumberFormat="1" applyFont="1" applyAlignment="1">
      <alignment horizontal="center"/>
    </xf>
    <xf numFmtId="0" fontId="38" fillId="0" borderId="1" xfId="543" applyFont="1" applyBorder="1" applyAlignment="1">
      <alignment horizontal="left" vertical="top" wrapText="1"/>
    </xf>
    <xf numFmtId="0" fontId="38" fillId="0" borderId="12" xfId="543" applyFont="1" applyBorder="1" applyAlignment="1">
      <alignment horizontal="center" vertical="top" wrapText="1"/>
    </xf>
    <xf numFmtId="0" fontId="38" fillId="0" borderId="8" xfId="543" applyFont="1" applyBorder="1" applyAlignment="1">
      <alignment horizontal="left" vertical="top" wrapText="1"/>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51"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51" fillId="2" borderId="11" xfId="271" applyFont="1" applyFill="1" applyBorder="1" applyAlignment="1" applyProtection="1">
      <alignment horizontal="left" vertical="top" wrapText="1"/>
      <protection locked="0"/>
    </xf>
    <xf numFmtId="0" fontId="55" fillId="0" borderId="11" xfId="0" applyFont="1" applyBorder="1" applyAlignment="1">
      <alignment horizontal="right" vertical="top" wrapText="1"/>
    </xf>
    <xf numFmtId="0" fontId="28" fillId="8" borderId="0" xfId="542" quotePrefix="1" applyFont="1" applyFill="1" applyAlignment="1">
      <alignment horizontal="left"/>
    </xf>
    <xf numFmtId="0" fontId="28" fillId="8" borderId="0" xfId="542" applyFont="1" applyFill="1"/>
    <xf numFmtId="0" fontId="36" fillId="8" borderId="0" xfId="542" applyFont="1" applyFill="1"/>
    <xf numFmtId="0" fontId="55" fillId="0" borderId="11" xfId="271" applyFont="1" applyBorder="1" applyAlignment="1">
      <alignment horizontal="right" vertical="top"/>
    </xf>
    <xf numFmtId="0" fontId="55"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5" fontId="28" fillId="0" borderId="0" xfId="542" applyNumberFormat="1" applyFont="1"/>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3" fontId="58" fillId="0" borderId="11" xfId="0" applyNumberFormat="1" applyFont="1" applyBorder="1" applyAlignment="1">
      <alignment vertical="top" wrapText="1"/>
    </xf>
    <xf numFmtId="166" fontId="28" fillId="0" borderId="0" xfId="0" applyNumberFormat="1" applyFont="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76" fillId="0" borderId="0" xfId="0" applyFont="1" applyAlignment="1">
      <alignment vertical="center" wrapText="1"/>
    </xf>
    <xf numFmtId="0" fontId="76" fillId="0" borderId="0" xfId="0" applyFont="1" applyAlignment="1">
      <alignment vertical="center"/>
    </xf>
    <xf numFmtId="0" fontId="76" fillId="0" borderId="0" xfId="0" applyFont="1" applyAlignment="1">
      <alignment horizontal="left" vertical="center" indent="1"/>
    </xf>
    <xf numFmtId="172" fontId="28" fillId="5" borderId="0" xfId="0" applyNumberFormat="1" applyFont="1" applyFill="1" applyAlignment="1">
      <alignment horizontal="center"/>
    </xf>
    <xf numFmtId="0" fontId="77" fillId="0" borderId="0" xfId="0" applyFont="1" applyAlignment="1">
      <alignment horizontal="left" vertical="center"/>
    </xf>
    <xf numFmtId="0" fontId="38" fillId="0" borderId="2" xfId="543" applyFont="1" applyBorder="1" applyAlignment="1">
      <alignment horizontal="center" vertical="top" wrapText="1"/>
    </xf>
    <xf numFmtId="49" fontId="49" fillId="0" borderId="0" xfId="0" applyNumberFormat="1" applyFont="1" applyAlignment="1">
      <alignment horizontal="center"/>
    </xf>
    <xf numFmtId="0" fontId="55" fillId="0" borderId="0" xfId="0" applyFont="1"/>
    <xf numFmtId="5" fontId="81" fillId="0" borderId="11" xfId="541" applyNumberFormat="1" applyFont="1" applyBorder="1" applyAlignment="1" applyProtection="1">
      <alignment horizontal="center"/>
    </xf>
    <xf numFmtId="5" fontId="81" fillId="42" borderId="11" xfId="541" applyNumberFormat="1" applyFont="1" applyFill="1" applyBorder="1" applyAlignment="1" applyProtection="1">
      <alignment horizontal="center"/>
    </xf>
    <xf numFmtId="5" fontId="81" fillId="2" borderId="11" xfId="541" applyNumberFormat="1" applyFont="1" applyFill="1" applyBorder="1" applyAlignment="1" applyProtection="1">
      <alignment horizontal="center"/>
    </xf>
    <xf numFmtId="0" fontId="55" fillId="0" borderId="0" xfId="0" applyFont="1" applyAlignment="1">
      <alignment vertical="top" wrapText="1"/>
    </xf>
    <xf numFmtId="0" fontId="55" fillId="0" borderId="0" xfId="0" applyFont="1" applyAlignment="1">
      <alignment vertical="top"/>
    </xf>
    <xf numFmtId="0" fontId="55" fillId="2" borderId="0" xfId="0" applyFont="1" applyFill="1" applyAlignment="1">
      <alignment vertical="top" wrapText="1"/>
    </xf>
    <xf numFmtId="0" fontId="83" fillId="0" borderId="13" xfId="0" applyFont="1" applyBorder="1" applyAlignment="1">
      <alignment vertical="top" wrapText="1"/>
    </xf>
    <xf numFmtId="0" fontId="33" fillId="0" borderId="0" xfId="0" applyFont="1" applyAlignment="1">
      <alignment vertical="top" wrapText="1"/>
    </xf>
    <xf numFmtId="0" fontId="83" fillId="2" borderId="13" xfId="0" applyFont="1" applyFill="1" applyBorder="1" applyAlignment="1">
      <alignment vertical="top" wrapText="1"/>
    </xf>
    <xf numFmtId="0" fontId="83" fillId="0" borderId="0" xfId="0" applyFont="1" applyAlignment="1">
      <alignment vertical="top" wrapText="1"/>
    </xf>
    <xf numFmtId="0" fontId="83" fillId="2" borderId="0" xfId="0" applyFont="1" applyFill="1" applyAlignment="1">
      <alignment vertical="top" wrapText="1"/>
    </xf>
    <xf numFmtId="0" fontId="55" fillId="0" borderId="0" xfId="0" applyFont="1" applyAlignment="1">
      <alignment horizontal="right" vertical="top" wrapText="1"/>
    </xf>
    <xf numFmtId="168" fontId="55" fillId="5" borderId="6" xfId="0" applyNumberFormat="1" applyFont="1" applyFill="1" applyBorder="1" applyAlignment="1" applyProtection="1">
      <alignment horizontal="right" vertical="top" wrapText="1"/>
      <protection locked="0"/>
    </xf>
    <xf numFmtId="168" fontId="55" fillId="0" borderId="6" xfId="0" applyNumberFormat="1" applyFont="1" applyBorder="1" applyAlignment="1">
      <alignment horizontal="right" vertical="top" wrapText="1"/>
    </xf>
    <xf numFmtId="0" fontId="26" fillId="0" borderId="0" xfId="0" applyFont="1" applyAlignment="1">
      <alignment horizontal="left" vertical="top" wrapText="1"/>
    </xf>
    <xf numFmtId="0" fontId="28" fillId="0" borderId="0" xfId="0" applyFont="1" applyAlignment="1">
      <alignment horizontal="right" vertical="top" wrapText="1"/>
    </xf>
    <xf numFmtId="10" fontId="28" fillId="5" borderId="6" xfId="0" applyNumberFormat="1" applyFont="1" applyFill="1" applyBorder="1" applyAlignment="1" applyProtection="1">
      <alignment horizontal="center" vertical="top" wrapText="1"/>
      <protection locked="0"/>
    </xf>
    <xf numFmtId="0" fontId="66"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55"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107" fillId="0" borderId="0" xfId="0" applyFont="1" applyAlignment="1">
      <alignment horizontal="left" vertical="top"/>
    </xf>
    <xf numFmtId="0" fontId="108" fillId="0" borderId="0" xfId="0" applyFont="1" applyAlignment="1">
      <alignment horizontal="left" vertical="top"/>
    </xf>
    <xf numFmtId="0" fontId="7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65" fillId="8" borderId="11" xfId="542" applyFont="1" applyFill="1" applyBorder="1" applyAlignment="1">
      <alignment horizontal="left"/>
    </xf>
    <xf numFmtId="0" fontId="65"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7" fillId="2" borderId="11" xfId="569" applyFont="1" applyFill="1" applyBorder="1" applyAlignment="1">
      <alignment horizontal="left" vertical="top" wrapText="1"/>
    </xf>
    <xf numFmtId="6" fontId="55" fillId="4" borderId="11" xfId="569" applyNumberFormat="1" applyFont="1" applyFill="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6" fontId="55" fillId="0" borderId="11" xfId="569" applyNumberFormat="1" applyFont="1" applyBorder="1" applyAlignment="1">
      <alignment vertical="top" wrapText="1"/>
    </xf>
    <xf numFmtId="6" fontId="55" fillId="5" borderId="11" xfId="569" applyNumberFormat="1" applyFont="1" applyFill="1" applyBorder="1" applyAlignment="1" applyProtection="1">
      <alignment vertical="top" wrapText="1"/>
      <protection locked="0"/>
    </xf>
    <xf numFmtId="6" fontId="55" fillId="6" borderId="11" xfId="569" applyNumberFormat="1" applyFont="1" applyFill="1" applyBorder="1" applyAlignment="1">
      <alignment horizontal="center" vertical="top" wrapText="1"/>
    </xf>
    <xf numFmtId="0" fontId="55" fillId="0" borderId="11" xfId="569" applyFont="1" applyBorder="1" applyAlignment="1">
      <alignment horizontal="right" vertical="top" wrapText="1"/>
    </xf>
    <xf numFmtId="0" fontId="56" fillId="0" borderId="11" xfId="569" applyFont="1" applyBorder="1" applyAlignment="1">
      <alignment horizontal="right" vertical="top" wrapText="1"/>
    </xf>
    <xf numFmtId="0" fontId="55" fillId="0" borderId="11" xfId="569" applyFont="1" applyBorder="1" applyAlignment="1">
      <alignment horizontal="right" vertical="top"/>
    </xf>
    <xf numFmtId="6" fontId="56" fillId="0" borderId="11" xfId="569" applyNumberFormat="1" applyFont="1" applyBorder="1" applyAlignment="1">
      <alignment vertical="top" wrapText="1"/>
    </xf>
    <xf numFmtId="0" fontId="56" fillId="0" borderId="8" xfId="569" applyFont="1" applyBorder="1" applyAlignment="1">
      <alignment vertical="top" wrapText="1"/>
    </xf>
    <xf numFmtId="0" fontId="56" fillId="0" borderId="0" xfId="569" applyFont="1" applyAlignment="1">
      <alignment vertical="top" wrapText="1"/>
    </xf>
    <xf numFmtId="0" fontId="22" fillId="0" borderId="11" xfId="569" applyFont="1" applyBorder="1" applyAlignment="1">
      <alignment horizontal="right" vertical="top" wrapText="1"/>
    </xf>
    <xf numFmtId="0" fontId="56" fillId="0" borderId="0" xfId="569" applyFont="1" applyAlignment="1">
      <alignment horizontal="left" vertical="top"/>
    </xf>
    <xf numFmtId="6" fontId="55" fillId="0" borderId="0" xfId="569" applyNumberFormat="1" applyFont="1" applyAlignment="1">
      <alignment horizontal="left" vertical="top"/>
    </xf>
    <xf numFmtId="0" fontId="108" fillId="0" borderId="0" xfId="569" applyFont="1" applyAlignment="1">
      <alignment horizontal="left" vertical="top"/>
    </xf>
    <xf numFmtId="6" fontId="55" fillId="0" borderId="0" xfId="569" applyNumberFormat="1" applyFont="1" applyAlignment="1">
      <alignment vertical="top" wrapText="1"/>
    </xf>
    <xf numFmtId="0" fontId="55" fillId="0" borderId="0" xfId="569" applyFont="1" applyAlignment="1">
      <alignment horizontal="left" vertical="top"/>
    </xf>
    <xf numFmtId="0" fontId="55" fillId="0" borderId="12" xfId="569" applyFont="1" applyBorder="1" applyAlignment="1">
      <alignment vertical="top" wrapText="1"/>
    </xf>
    <xf numFmtId="0" fontId="26" fillId="0" borderId="0" xfId="569" applyFont="1" applyAlignment="1">
      <alignment horizontal="left" vertical="top"/>
    </xf>
    <xf numFmtId="0" fontId="111" fillId="0" borderId="0" xfId="569" applyFont="1" applyAlignment="1">
      <alignment horizontal="left" vertical="top"/>
    </xf>
    <xf numFmtId="0" fontId="66"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55" fillId="0" borderId="0" xfId="569" applyFont="1" applyAlignment="1">
      <alignment vertical="top"/>
    </xf>
    <xf numFmtId="168" fontId="55"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55" fillId="0" borderId="0" xfId="569" applyFont="1" applyAlignment="1">
      <alignment horizontal="right" vertical="top" wrapText="1"/>
    </xf>
    <xf numFmtId="0" fontId="26" fillId="0" borderId="0" xfId="569" applyFont="1" applyAlignment="1">
      <alignment horizontal="left" vertical="top" wrapText="1"/>
    </xf>
    <xf numFmtId="168" fontId="55"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83" fillId="0" borderId="0" xfId="569" applyFont="1" applyAlignment="1">
      <alignment vertical="top" wrapText="1"/>
    </xf>
    <xf numFmtId="0" fontId="83" fillId="0" borderId="12" xfId="569" applyFont="1" applyBorder="1" applyAlignment="1">
      <alignment vertical="top" wrapText="1"/>
    </xf>
    <xf numFmtId="0" fontId="83" fillId="0" borderId="8" xfId="569" applyFont="1" applyBorder="1" applyAlignment="1">
      <alignment vertical="top" wrapText="1"/>
    </xf>
    <xf numFmtId="0" fontId="33" fillId="0" borderId="0" xfId="569" applyFont="1" applyAlignment="1">
      <alignment horizontal="right" vertical="top" wrapText="1"/>
    </xf>
    <xf numFmtId="0" fontId="83" fillId="0" borderId="0" xfId="569" applyFont="1" applyAlignment="1">
      <alignment horizontal="right" vertical="top" wrapText="1"/>
    </xf>
    <xf numFmtId="0" fontId="56" fillId="0" borderId="3" xfId="569" applyFont="1" applyBorder="1" applyAlignment="1">
      <alignment horizontal="left"/>
    </xf>
    <xf numFmtId="0" fontId="56" fillId="0" borderId="13" xfId="569" applyFont="1" applyBorder="1" applyAlignment="1">
      <alignment horizontal="center" wrapText="1"/>
    </xf>
    <xf numFmtId="0" fontId="56" fillId="0" borderId="8" xfId="569" applyFont="1" applyBorder="1" applyAlignment="1">
      <alignment horizontal="center" wrapText="1"/>
    </xf>
    <xf numFmtId="0" fontId="56"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43"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10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67" fillId="0" borderId="0" xfId="271" applyFont="1" applyAlignment="1">
      <alignment horizontal="left"/>
    </xf>
    <xf numFmtId="0" fontId="67" fillId="0" borderId="0" xfId="271" applyFont="1" applyAlignment="1">
      <alignment horizontal="right"/>
    </xf>
    <xf numFmtId="168" fontId="24" fillId="0" borderId="11" xfId="271" applyNumberFormat="1" applyFont="1" applyBorder="1"/>
    <xf numFmtId="168" fontId="24" fillId="0" borderId="0" xfId="271" applyNumberFormat="1" applyFont="1"/>
    <xf numFmtId="0" fontId="55" fillId="0" borderId="0" xfId="569" applyFont="1" applyAlignment="1">
      <alignment horizontal="left"/>
    </xf>
    <xf numFmtId="0" fontId="19" fillId="0" borderId="3" xfId="569" applyBorder="1"/>
    <xf numFmtId="0" fontId="110" fillId="0" borderId="0" xfId="1834"/>
    <xf numFmtId="0" fontId="0" fillId="0" borderId="0" xfId="0" applyAlignment="1">
      <alignment horizontal="left" vertical="top"/>
    </xf>
    <xf numFmtId="0" fontId="109" fillId="0" borderId="0" xfId="0" applyFont="1" applyAlignment="1">
      <alignment vertical="top" wrapText="1"/>
    </xf>
    <xf numFmtId="0" fontId="55"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0" fontId="38" fillId="0" borderId="0" xfId="543" applyFont="1" applyAlignment="1">
      <alignment horizontal="center"/>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8" fillId="0" borderId="0" xfId="1192" applyFont="1"/>
    <xf numFmtId="0" fontId="55" fillId="0" borderId="11" xfId="0" applyFont="1" applyBorder="1" applyAlignment="1">
      <alignment horizontal="right" vertical="center"/>
    </xf>
    <xf numFmtId="0" fontId="19" fillId="0" borderId="0" xfId="1192" applyAlignment="1">
      <alignment horizontal="left" vertical="top" wrapText="1"/>
    </xf>
    <xf numFmtId="0" fontId="48" fillId="0" borderId="0" xfId="0" applyFont="1" applyAlignment="1">
      <alignment vertical="top" wrapText="1"/>
    </xf>
    <xf numFmtId="0" fontId="48" fillId="0" borderId="0" xfId="0" applyFont="1" applyAlignment="1">
      <alignment horizontal="left" vertical="top" wrapText="1"/>
    </xf>
    <xf numFmtId="6" fontId="56" fillId="0" borderId="0" xfId="569" applyNumberFormat="1" applyFont="1" applyAlignment="1">
      <alignment horizontal="right" vertical="top"/>
    </xf>
    <xf numFmtId="0" fontId="19" fillId="0" borderId="0" xfId="0" applyFont="1" applyAlignment="1">
      <alignment vertical="top" wrapText="1"/>
    </xf>
    <xf numFmtId="168" fontId="28" fillId="0" borderId="0" xfId="0" applyNumberFormat="1" applyFont="1" applyAlignment="1">
      <alignment horizontal="right"/>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8" fillId="0" borderId="0" xfId="0" applyFont="1" applyAlignment="1">
      <alignment horizontal="left" vertical="top"/>
    </xf>
    <xf numFmtId="0" fontId="48"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53"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53"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51" fillId="0" borderId="0" xfId="569" applyFont="1" applyAlignment="1">
      <alignment horizontal="left"/>
    </xf>
    <xf numFmtId="4" fontId="53"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9" fillId="0" borderId="0" xfId="569" applyFont="1" applyAlignment="1">
      <alignment horizontal="left"/>
    </xf>
    <xf numFmtId="0" fontId="20" fillId="0" borderId="0" xfId="244" applyNumberFormat="1" applyFill="1" applyAlignment="1" applyProtection="1">
      <alignment horizontal="left"/>
      <protection locked="0"/>
    </xf>
    <xf numFmtId="0" fontId="55" fillId="0" borderId="11" xfId="0" applyFont="1" applyBorder="1" applyAlignment="1" applyProtection="1">
      <alignment horizontal="right" vertical="top" wrapText="1"/>
      <protection locked="0"/>
    </xf>
    <xf numFmtId="168" fontId="58" fillId="44" borderId="11" xfId="0" applyNumberFormat="1" applyFont="1" applyFill="1" applyBorder="1" applyAlignment="1">
      <alignment vertical="top" wrapText="1"/>
    </xf>
    <xf numFmtId="0" fontId="19" fillId="0" borderId="11" xfId="271" applyFont="1" applyBorder="1" applyAlignment="1">
      <alignment horizontal="right" vertical="top" wrapText="1"/>
    </xf>
    <xf numFmtId="0" fontId="27" fillId="0" borderId="0" xfId="569" applyFont="1" applyAlignment="1">
      <alignment horizontal="left"/>
    </xf>
    <xf numFmtId="0" fontId="107" fillId="0" borderId="0" xfId="0" applyFont="1"/>
    <xf numFmtId="0" fontId="118" fillId="0" borderId="0" xfId="0" applyFont="1" applyAlignment="1">
      <alignment horizontal="left" vertical="top"/>
    </xf>
    <xf numFmtId="0" fontId="119" fillId="0" borderId="0" xfId="0" applyFont="1" applyAlignment="1">
      <alignment horizontal="left" vertical="top"/>
    </xf>
    <xf numFmtId="168" fontId="27" fillId="0" borderId="0" xfId="0" applyNumberFormat="1" applyFont="1" applyAlignment="1">
      <alignment horizontal="left" vertical="top" wrapText="1"/>
    </xf>
    <xf numFmtId="168" fontId="55" fillId="5" borderId="11" xfId="0" applyNumberFormat="1" applyFont="1" applyFill="1" applyBorder="1" applyAlignment="1">
      <alignment vertical="top" wrapText="1"/>
    </xf>
    <xf numFmtId="0" fontId="19" fillId="0" borderId="0" xfId="271" applyFont="1" applyAlignment="1">
      <alignment horizontal="left" vertical="top"/>
    </xf>
    <xf numFmtId="0" fontId="55"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62" fillId="0" borderId="0" xfId="569" applyFont="1"/>
    <xf numFmtId="0" fontId="43" fillId="0" borderId="0" xfId="569" applyFont="1"/>
    <xf numFmtId="0" fontId="19" fillId="0" borderId="0" xfId="1192" applyAlignment="1">
      <alignment vertical="top" wrapText="1"/>
    </xf>
    <xf numFmtId="49" fontId="19" fillId="0" borderId="0" xfId="1192" applyNumberFormat="1" applyAlignment="1">
      <alignment vertical="top" wrapText="1"/>
    </xf>
    <xf numFmtId="0" fontId="57" fillId="0" borderId="9" xfId="543" applyFont="1" applyBorder="1" applyAlignment="1">
      <alignment vertical="top"/>
    </xf>
    <xf numFmtId="0" fontId="19" fillId="0" borderId="0" xfId="0" applyFont="1" applyAlignment="1">
      <alignment vertical="center"/>
    </xf>
    <xf numFmtId="0" fontId="120" fillId="0" borderId="0" xfId="0" applyFont="1"/>
    <xf numFmtId="3" fontId="107" fillId="0" borderId="0" xfId="0" applyNumberFormat="1" applyFont="1"/>
    <xf numFmtId="0" fontId="107" fillId="0" borderId="0" xfId="0" applyFont="1" applyAlignment="1">
      <alignment horizontal="left"/>
    </xf>
    <xf numFmtId="168" fontId="121" fillId="0" borderId="0" xfId="0" applyNumberFormat="1" applyFont="1" applyAlignment="1">
      <alignment horizontal="left" vertical="top"/>
    </xf>
    <xf numFmtId="0" fontId="107" fillId="0" borderId="0" xfId="0" applyFont="1" applyAlignment="1">
      <alignment horizontal="left" vertical="center"/>
    </xf>
    <xf numFmtId="0" fontId="12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9"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9" fillId="0" borderId="0" xfId="4495" applyFont="1" applyAlignment="1">
      <alignment horizontal="left" vertical="center"/>
    </xf>
    <xf numFmtId="0" fontId="125" fillId="0" borderId="0" xfId="4496" applyFont="1" applyAlignment="1">
      <alignment vertical="center"/>
    </xf>
    <xf numFmtId="0" fontId="124" fillId="0" borderId="0" xfId="4496" applyFont="1"/>
    <xf numFmtId="0" fontId="124" fillId="0" borderId="0" xfId="4496" applyFont="1" applyAlignment="1">
      <alignment vertical="center"/>
    </xf>
    <xf numFmtId="0" fontId="12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2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2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24" fillId="0" borderId="53" xfId="4496" applyFont="1" applyBorder="1" applyAlignment="1">
      <alignment vertical="top" wrapText="1"/>
    </xf>
    <xf numFmtId="0" fontId="124" fillId="0" borderId="0" xfId="4496" applyFont="1" applyAlignment="1">
      <alignment vertical="top" wrapText="1"/>
    </xf>
    <xf numFmtId="10" fontId="124" fillId="0" borderId="0" xfId="4496" applyNumberFormat="1" applyFont="1" applyAlignment="1">
      <alignment vertical="top" wrapText="1"/>
    </xf>
    <xf numFmtId="0" fontId="124" fillId="0" borderId="54" xfId="4496" applyFont="1" applyBorder="1" applyAlignment="1">
      <alignment vertical="top" wrapText="1"/>
    </xf>
    <xf numFmtId="0" fontId="124" fillId="0" borderId="0" xfId="4496" applyFont="1" applyAlignment="1">
      <alignment vertical="top"/>
    </xf>
    <xf numFmtId="165" fontId="12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55"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55"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2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2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63"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63"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2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2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9" fillId="0" borderId="0" xfId="4495" applyFont="1"/>
    <xf numFmtId="0" fontId="27" fillId="0" borderId="3" xfId="4495" applyFont="1" applyBorder="1" applyAlignment="1">
      <alignment horizontal="center"/>
    </xf>
    <xf numFmtId="0" fontId="122" fillId="0" borderId="8" xfId="4495" applyBorder="1"/>
    <xf numFmtId="0" fontId="26" fillId="0" borderId="8" xfId="4495" applyFont="1" applyBorder="1" applyAlignment="1">
      <alignment vertical="top"/>
    </xf>
    <xf numFmtId="0" fontId="122" fillId="0" borderId="0" xfId="4495" applyAlignment="1">
      <alignment vertical="top"/>
    </xf>
    <xf numFmtId="0" fontId="26" fillId="0" borderId="4" xfId="4495" applyFont="1" applyBorder="1" applyAlignment="1">
      <alignment horizontal="center" vertical="top"/>
    </xf>
    <xf numFmtId="0" fontId="127" fillId="0" borderId="0" xfId="4495" applyFont="1" applyAlignment="1">
      <alignment horizontal="left" vertical="top"/>
    </xf>
    <xf numFmtId="0" fontId="12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31" fillId="0" borderId="0" xfId="4495" applyFont="1" applyAlignment="1">
      <alignment vertical="top" wrapText="1"/>
    </xf>
    <xf numFmtId="0" fontId="13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22" fillId="0" borderId="12" xfId="4495" applyBorder="1"/>
    <xf numFmtId="0" fontId="27" fillId="0" borderId="9" xfId="4495" applyFont="1" applyBorder="1"/>
    <xf numFmtId="0" fontId="122" fillId="0" borderId="10" xfId="4495" applyBorder="1"/>
    <xf numFmtId="0" fontId="35" fillId="0" borderId="3" xfId="4495" applyFont="1" applyBorder="1"/>
    <xf numFmtId="0" fontId="26" fillId="0" borderId="4" xfId="4495" applyFont="1" applyBorder="1"/>
    <xf numFmtId="0" fontId="122" fillId="0" borderId="12" xfId="4495" applyBorder="1" applyAlignment="1">
      <alignment vertical="top"/>
    </xf>
    <xf numFmtId="0" fontId="35" fillId="0" borderId="1" xfId="4495" applyFont="1" applyBorder="1"/>
    <xf numFmtId="0" fontId="131" fillId="0" borderId="2" xfId="4495" applyFont="1" applyBorder="1" applyAlignment="1">
      <alignment horizontal="left" wrapText="1"/>
    </xf>
    <xf numFmtId="0" fontId="131" fillId="0" borderId="2" xfId="4495" applyFont="1" applyBorder="1" applyAlignment="1">
      <alignment horizontal="left"/>
    </xf>
    <xf numFmtId="0" fontId="131" fillId="0" borderId="7" xfId="4495" applyFont="1" applyBorder="1" applyAlignment="1">
      <alignment horizontal="left" wrapText="1"/>
    </xf>
    <xf numFmtId="0" fontId="131" fillId="0" borderId="0" xfId="4495" applyFont="1" applyAlignment="1">
      <alignment horizontal="left" wrapText="1"/>
    </xf>
    <xf numFmtId="0" fontId="35" fillId="0" borderId="9" xfId="4495" applyFont="1" applyBorder="1"/>
    <xf numFmtId="0" fontId="27" fillId="0" borderId="10" xfId="4495" applyFont="1" applyBorder="1"/>
    <xf numFmtId="0" fontId="13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2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22" fillId="0" borderId="61" xfId="4495" applyBorder="1"/>
    <xf numFmtId="0" fontId="12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2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2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30" fillId="0" borderId="0" xfId="4495" applyFont="1"/>
    <xf numFmtId="0" fontId="12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2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55" fillId="0" borderId="0" xfId="4495" applyFont="1" applyAlignment="1">
      <alignment horizontal="left" vertical="top"/>
    </xf>
    <xf numFmtId="0" fontId="27" fillId="0" borderId="0" xfId="4495" quotePrefix="1" applyFont="1" applyAlignment="1">
      <alignment horizontal="center" vertical="top"/>
    </xf>
    <xf numFmtId="0" fontId="56" fillId="0" borderId="0" xfId="4495" applyFont="1" applyAlignment="1">
      <alignment horizontal="center"/>
    </xf>
    <xf numFmtId="0" fontId="56" fillId="0" borderId="0" xfId="4495" applyFont="1" applyAlignment="1">
      <alignment vertical="top"/>
    </xf>
    <xf numFmtId="0" fontId="109" fillId="0" borderId="0" xfId="4495" applyFont="1"/>
    <xf numFmtId="0" fontId="55"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55" fillId="0" borderId="51" xfId="4495" applyFont="1" applyBorder="1" applyAlignment="1">
      <alignment horizontal="left" vertical="top"/>
    </xf>
    <xf numFmtId="0" fontId="122" fillId="0" borderId="53" xfId="4495" applyBorder="1"/>
    <xf numFmtId="0" fontId="10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2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66" fillId="0" borderId="0" xfId="4495" applyNumberFormat="1" applyFont="1" applyAlignment="1">
      <alignment horizontal="center" vertical="center"/>
    </xf>
    <xf numFmtId="0" fontId="19" fillId="0" borderId="12" xfId="4495" applyFont="1" applyBorder="1" applyAlignment="1">
      <alignment vertical="top"/>
    </xf>
    <xf numFmtId="0" fontId="49"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9"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9" fillId="0" borderId="0" xfId="1192" applyFont="1"/>
    <xf numFmtId="168" fontId="19" fillId="0" borderId="0" xfId="4495" applyNumberFormat="1" applyFont="1"/>
    <xf numFmtId="0" fontId="26" fillId="0" borderId="0" xfId="1192" applyFont="1" applyAlignment="1">
      <alignment vertical="center"/>
    </xf>
    <xf numFmtId="0" fontId="120" fillId="0" borderId="0" xfId="1192" applyFont="1" applyAlignment="1">
      <alignment horizontal="left"/>
    </xf>
    <xf numFmtId="0" fontId="117" fillId="0" borderId="0" xfId="1192" applyFont="1" applyAlignment="1">
      <alignment horizontal="left"/>
    </xf>
    <xf numFmtId="0" fontId="11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56" fillId="0" borderId="4" xfId="4495" applyFont="1" applyBorder="1"/>
    <xf numFmtId="0" fontId="39" fillId="0" borderId="0" xfId="543" applyFont="1" applyAlignment="1">
      <alignment vertical="center" wrapText="1"/>
    </xf>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24" fillId="0" borderId="0" xfId="4496" applyNumberFormat="1" applyFont="1" applyAlignment="1">
      <alignment horizontal="center" vertical="top" wrapText="1"/>
    </xf>
    <xf numFmtId="168" fontId="124" fillId="0" borderId="0" xfId="4496" applyNumberFormat="1" applyFont="1" applyAlignment="1">
      <alignment vertical="top" wrapText="1"/>
    </xf>
    <xf numFmtId="165" fontId="124" fillId="0" borderId="64" xfId="4496" applyNumberFormat="1" applyFont="1" applyBorder="1" applyAlignment="1">
      <alignment horizontal="center" vertical="top" wrapText="1"/>
    </xf>
    <xf numFmtId="165" fontId="124" fillId="0" borderId="53" xfId="4496" applyNumberFormat="1" applyFont="1" applyBorder="1" applyAlignment="1">
      <alignment horizontal="left" vertical="top"/>
    </xf>
    <xf numFmtId="165" fontId="124" fillId="0" borderId="53" xfId="4496" applyNumberFormat="1" applyFont="1" applyBorder="1" applyAlignment="1">
      <alignment horizontal="center" vertical="top" wrapText="1"/>
    </xf>
    <xf numFmtId="168" fontId="124" fillId="0" borderId="0" xfId="4496" applyNumberFormat="1" applyFont="1" applyAlignment="1">
      <alignment vertical="top"/>
    </xf>
    <xf numFmtId="1" fontId="12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2" fillId="0" borderId="50" xfId="1192" applyFont="1" applyBorder="1" applyAlignment="1">
      <alignment horizontal="left"/>
    </xf>
    <xf numFmtId="0" fontId="143" fillId="0" borderId="51" xfId="4495" applyFont="1" applyBorder="1" applyAlignment="1">
      <alignment vertical="top"/>
    </xf>
    <xf numFmtId="0" fontId="142" fillId="0" borderId="51" xfId="4495" applyFont="1" applyBorder="1" applyAlignment="1">
      <alignment vertical="top" wrapText="1"/>
    </xf>
    <xf numFmtId="0" fontId="143" fillId="0" borderId="51" xfId="4495" applyFont="1" applyBorder="1"/>
    <xf numFmtId="0" fontId="143" fillId="0" borderId="53" xfId="1192" applyFont="1" applyBorder="1" applyAlignment="1">
      <alignment horizontal="left"/>
    </xf>
    <xf numFmtId="0" fontId="143" fillId="0" borderId="0" xfId="4495" applyFont="1" applyAlignment="1">
      <alignment vertical="top"/>
    </xf>
    <xf numFmtId="0" fontId="142" fillId="0" borderId="0" xfId="4495" applyFont="1" applyAlignment="1">
      <alignment vertical="top" wrapText="1"/>
    </xf>
    <xf numFmtId="0" fontId="143" fillId="0" borderId="0" xfId="4495" applyFont="1"/>
    <xf numFmtId="0" fontId="142" fillId="0" borderId="53" xfId="1192" applyFont="1" applyBorder="1" applyAlignment="1">
      <alignment horizontal="left"/>
    </xf>
    <xf numFmtId="0" fontId="142" fillId="0" borderId="57" xfId="1192" applyFont="1" applyBorder="1" applyAlignment="1">
      <alignment horizontal="left"/>
    </xf>
    <xf numFmtId="0" fontId="143" fillId="0" borderId="58" xfId="4495" applyFont="1" applyBorder="1" applyAlignment="1">
      <alignment vertical="top"/>
    </xf>
    <xf numFmtId="0" fontId="142" fillId="0" borderId="58" xfId="4495" applyFont="1" applyBorder="1" applyAlignment="1">
      <alignment vertical="top" wrapText="1"/>
    </xf>
    <xf numFmtId="0" fontId="143" fillId="0" borderId="58" xfId="4495" applyFont="1" applyBorder="1"/>
    <xf numFmtId="0" fontId="28" fillId="0" borderId="3" xfId="0" applyFont="1" applyBorder="1" applyAlignment="1">
      <alignment horizontal="center"/>
    </xf>
    <xf numFmtId="0" fontId="28" fillId="0" borderId="4" xfId="0" applyFont="1" applyBorder="1" applyAlignment="1">
      <alignment horizontal="center"/>
    </xf>
    <xf numFmtId="0" fontId="28" fillId="0" borderId="5" xfId="0" applyFont="1" applyBorder="1" applyAlignment="1">
      <alignment horizontal="center"/>
    </xf>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52"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46" fillId="0" borderId="8" xfId="543" applyFont="1" applyBorder="1" applyAlignment="1">
      <alignment vertical="center" wrapText="1"/>
    </xf>
    <xf numFmtId="0" fontId="46" fillId="0" borderId="0" xfId="543" applyFont="1" applyAlignment="1">
      <alignment vertical="center" wrapText="1"/>
    </xf>
    <xf numFmtId="0" fontId="46" fillId="0" borderId="12" xfId="543" applyFont="1" applyBorder="1" applyAlignment="1">
      <alignment vertical="center" wrapText="1"/>
    </xf>
    <xf numFmtId="0" fontId="46" fillId="0" borderId="9" xfId="543" applyFont="1" applyBorder="1" applyAlignment="1">
      <alignment vertical="center" wrapText="1"/>
    </xf>
    <xf numFmtId="0" fontId="46" fillId="0" borderId="6" xfId="543" applyFont="1" applyBorder="1" applyAlignment="1">
      <alignment vertical="center" wrapText="1"/>
    </xf>
    <xf numFmtId="0" fontId="46" fillId="0" borderId="10" xfId="543" applyFont="1" applyBorder="1" applyAlignment="1">
      <alignment vertical="center" wrapText="1"/>
    </xf>
    <xf numFmtId="0" fontId="39" fillId="0" borderId="12" xfId="543" applyFont="1" applyBorder="1" applyAlignment="1">
      <alignment horizontal="center" vertical="top"/>
    </xf>
    <xf numFmtId="0" fontId="40" fillId="0" borderId="7" xfId="543" applyFont="1" applyBorder="1"/>
    <xf numFmtId="0" fontId="19" fillId="0" borderId="12" xfId="543" quotePrefix="1" applyBorder="1"/>
    <xf numFmtId="0" fontId="55"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4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4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2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51" fillId="0" borderId="0" xfId="4496" applyFont="1"/>
    <xf numFmtId="168" fontId="55"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53"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9"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9" fillId="0" borderId="0" xfId="1192" applyFont="1" applyAlignment="1">
      <alignment horizontal="left"/>
    </xf>
    <xf numFmtId="0" fontId="53"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24" fillId="0" borderId="0" xfId="4496" applyNumberFormat="1" applyFont="1" applyAlignment="1">
      <alignment horizontal="center" vertical="top" wrapText="1"/>
    </xf>
    <xf numFmtId="10" fontId="124" fillId="0" borderId="64" xfId="4496" applyNumberFormat="1" applyFont="1" applyBorder="1" applyAlignment="1">
      <alignment horizontal="center" vertical="top" wrapText="1"/>
    </xf>
    <xf numFmtId="10" fontId="12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24" fillId="0" borderId="0" xfId="4495" applyFont="1"/>
    <xf numFmtId="10" fontId="124" fillId="0" borderId="0" xfId="4495" applyNumberFormat="1" applyFont="1"/>
    <xf numFmtId="172" fontId="19" fillId="0" borderId="0" xfId="4495" applyNumberFormat="1" applyFont="1"/>
    <xf numFmtId="0" fontId="42" fillId="0" borderId="0" xfId="0" applyFont="1" applyAlignment="1">
      <alignment horizontal="center"/>
    </xf>
    <xf numFmtId="0" fontId="38" fillId="0" borderId="0" xfId="0" applyFont="1" applyAlignment="1">
      <alignment horizontal="left"/>
    </xf>
    <xf numFmtId="0" fontId="0" fillId="0" borderId="10" xfId="0" applyBorder="1" applyAlignment="1">
      <alignment horizontal="left"/>
    </xf>
    <xf numFmtId="1" fontId="19" fillId="0" borderId="0" xfId="1192" applyNumberFormat="1" applyAlignment="1">
      <alignment horizontal="center"/>
    </xf>
    <xf numFmtId="0" fontId="122" fillId="0" borderId="63" xfId="4495" applyBorder="1"/>
    <xf numFmtId="0" fontId="55"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9" fontId="28" fillId="0" borderId="0" xfId="0" applyNumberFormat="1" applyFont="1"/>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5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0" fontId="42" fillId="0" borderId="11" xfId="0" applyFont="1" applyBorder="1"/>
    <xf numFmtId="175" fontId="19" fillId="0" borderId="0" xfId="543" applyNumberFormat="1" applyAlignment="1">
      <alignment vertical="center"/>
    </xf>
    <xf numFmtId="0" fontId="100" fillId="43" borderId="6" xfId="4496" applyFont="1" applyFill="1" applyBorder="1" applyAlignment="1" applyProtection="1">
      <alignment horizontal="center"/>
      <protection locked="0"/>
    </xf>
    <xf numFmtId="0" fontId="100" fillId="0" borderId="0" xfId="4496" applyFont="1"/>
    <xf numFmtId="0" fontId="100" fillId="0" borderId="0" xfId="4496" applyFont="1" applyAlignment="1">
      <alignment wrapText="1"/>
    </xf>
    <xf numFmtId="0" fontId="138" fillId="0" borderId="0" xfId="4496" applyFont="1"/>
    <xf numFmtId="181" fontId="139" fillId="0" borderId="0" xfId="4498" applyNumberFormat="1" applyFont="1" applyBorder="1" applyProtection="1"/>
    <xf numFmtId="0" fontId="140" fillId="0" borderId="0" xfId="4496" applyFont="1" applyAlignment="1">
      <alignment vertical="center" wrapText="1"/>
    </xf>
    <xf numFmtId="49" fontId="100" fillId="0" borderId="0" xfId="4496" applyNumberFormat="1" applyFont="1" applyAlignment="1">
      <alignment horizontal="center"/>
    </xf>
    <xf numFmtId="182" fontId="100" fillId="0" borderId="6" xfId="4496" applyNumberFormat="1" applyFont="1" applyBorder="1"/>
    <xf numFmtId="0" fontId="100" fillId="0" borderId="0" xfId="4496" applyFont="1" applyAlignment="1">
      <alignment vertical="center"/>
    </xf>
    <xf numFmtId="182" fontId="100" fillId="0" borderId="0" xfId="4496" applyNumberFormat="1" applyFont="1" applyAlignment="1">
      <alignment vertical="center"/>
    </xf>
    <xf numFmtId="175" fontId="100" fillId="0" borderId="0" xfId="4499" applyNumberFormat="1" applyFont="1" applyFill="1" applyBorder="1" applyAlignment="1" applyProtection="1">
      <alignment horizontal="left" vertical="center"/>
    </xf>
    <xf numFmtId="9" fontId="100" fillId="0" borderId="0" xfId="4499" applyFont="1" applyFill="1" applyBorder="1" applyAlignment="1" applyProtection="1">
      <alignment vertical="center"/>
    </xf>
    <xf numFmtId="183" fontId="100" fillId="0" borderId="0" xfId="4496" applyNumberFormat="1" applyFont="1" applyAlignment="1">
      <alignment vertical="center" wrapText="1"/>
    </xf>
    <xf numFmtId="9" fontId="100" fillId="0" borderId="0" xfId="4499" applyFont="1" applyBorder="1" applyAlignment="1" applyProtection="1">
      <alignment vertical="center"/>
    </xf>
    <xf numFmtId="164" fontId="100" fillId="0" borderId="0" xfId="4496" applyNumberFormat="1" applyFont="1" applyAlignment="1">
      <alignment vertical="center" wrapText="1"/>
    </xf>
    <xf numFmtId="0" fontId="100" fillId="0" borderId="0" xfId="4496" applyFont="1" applyAlignment="1">
      <alignment horizontal="center" vertical="center"/>
    </xf>
    <xf numFmtId="182" fontId="100" fillId="0" borderId="11" xfId="8721" applyNumberFormat="1" applyFont="1" applyBorder="1" applyProtection="1"/>
    <xf numFmtId="182" fontId="100" fillId="0" borderId="11" xfId="4496" applyNumberFormat="1" applyFont="1" applyBorder="1"/>
    <xf numFmtId="164" fontId="100" fillId="0" borderId="0" xfId="4496" applyNumberFormat="1" applyFont="1" applyAlignment="1">
      <alignment wrapText="1"/>
    </xf>
    <xf numFmtId="49" fontId="100" fillId="0" borderId="0" xfId="4496" applyNumberFormat="1" applyFont="1" applyAlignment="1">
      <alignment horizontal="left"/>
    </xf>
    <xf numFmtId="0" fontId="141" fillId="0" borderId="0" xfId="4496" applyFont="1"/>
    <xf numFmtId="9" fontId="100" fillId="0" borderId="11" xfId="4494" applyFont="1" applyFill="1" applyBorder="1" applyAlignment="1" applyProtection="1">
      <alignment horizontal="right"/>
    </xf>
    <xf numFmtId="1" fontId="100" fillId="0" borderId="0" xfId="4496" applyNumberFormat="1" applyFont="1"/>
    <xf numFmtId="0" fontId="138" fillId="45" borderId="3" xfId="4496" applyFont="1" applyFill="1" applyBorder="1" applyAlignment="1">
      <alignment horizontal="left" indent="1"/>
    </xf>
    <xf numFmtId="0" fontId="100" fillId="45" borderId="4" xfId="4496" applyFont="1" applyFill="1" applyBorder="1"/>
    <xf numFmtId="2" fontId="100" fillId="45" borderId="5" xfId="4496" applyNumberFormat="1" applyFont="1" applyFill="1" applyBorder="1"/>
    <xf numFmtId="181" fontId="100" fillId="0" borderId="0" xfId="4496" applyNumberFormat="1" applyFont="1"/>
    <xf numFmtId="165" fontId="139" fillId="0" borderId="0" xfId="4499" applyNumberFormat="1" applyFont="1" applyFill="1" applyBorder="1" applyProtection="1"/>
    <xf numFmtId="9" fontId="100" fillId="0" borderId="0" xfId="4494" applyFont="1" applyFill="1" applyProtection="1"/>
    <xf numFmtId="0" fontId="100" fillId="0" borderId="11" xfId="4496" applyFont="1" applyBorder="1" applyAlignment="1">
      <alignment horizontal="center"/>
    </xf>
    <xf numFmtId="2" fontId="100" fillId="0" borderId="11" xfId="4496" applyNumberFormat="1" applyFont="1" applyBorder="1" applyAlignment="1">
      <alignment horizontal="center"/>
    </xf>
    <xf numFmtId="0" fontId="100" fillId="0" borderId="0" xfId="4496" applyFont="1" applyAlignment="1">
      <alignment vertical="top" wrapText="1"/>
    </xf>
    <xf numFmtId="0" fontId="100" fillId="0" borderId="11" xfId="4496" applyFont="1" applyBorder="1" applyAlignment="1">
      <alignment horizontal="center" vertical="top" wrapText="1"/>
    </xf>
    <xf numFmtId="182" fontId="100" fillId="0" borderId="0" xfId="8721" applyNumberFormat="1" applyFont="1" applyBorder="1" applyProtection="1"/>
    <xf numFmtId="0" fontId="100" fillId="0" borderId="0" xfId="4496" applyFont="1" applyAlignment="1">
      <alignment horizontal="left" indent="1"/>
    </xf>
    <xf numFmtId="182" fontId="100" fillId="0" borderId="0" xfId="4496" applyNumberFormat="1" applyFont="1"/>
    <xf numFmtId="184" fontId="100" fillId="0" borderId="0" xfId="4496" applyNumberFormat="1" applyFont="1"/>
    <xf numFmtId="0" fontId="100" fillId="0" borderId="0" xfId="4496" applyFont="1" applyAlignment="1">
      <alignment horizontal="left"/>
    </xf>
    <xf numFmtId="0" fontId="10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100" fillId="0" borderId="0" xfId="4496" applyFont="1" applyAlignment="1">
      <alignment horizontal="right"/>
    </xf>
    <xf numFmtId="168" fontId="28" fillId="0" borderId="0" xfId="0" applyNumberFormat="1" applyFont="1"/>
    <xf numFmtId="0" fontId="100" fillId="0" borderId="15" xfId="4496" applyFont="1" applyBorder="1" applyAlignment="1">
      <alignment horizontal="center" vertical="top" wrapText="1"/>
    </xf>
    <xf numFmtId="2" fontId="100" fillId="0" borderId="15" xfId="4496" applyNumberFormat="1" applyFont="1" applyBorder="1" applyAlignment="1">
      <alignment horizontal="center"/>
    </xf>
    <xf numFmtId="0" fontId="100" fillId="0" borderId="15" xfId="4496" applyFont="1" applyBorder="1" applyAlignment="1">
      <alignment horizontal="center"/>
    </xf>
    <xf numFmtId="0" fontId="138" fillId="0" borderId="68" xfId="4496" applyFont="1" applyBorder="1" applyAlignment="1">
      <alignment horizontal="center" vertical="top" wrapText="1"/>
    </xf>
    <xf numFmtId="0" fontId="138" fillId="0" borderId="68" xfId="4496" applyFont="1" applyBorder="1" applyAlignment="1">
      <alignment horizontal="center"/>
    </xf>
    <xf numFmtId="0" fontId="152" fillId="0" borderId="0" xfId="4496" applyFont="1" applyAlignment="1">
      <alignment horizontal="right" vertical="center"/>
    </xf>
    <xf numFmtId="175" fontId="100" fillId="0" borderId="0" xfId="4499" applyNumberFormat="1" applyFont="1" applyFill="1" applyBorder="1" applyAlignment="1" applyProtection="1">
      <alignment horizontal="right" vertical="center"/>
    </xf>
    <xf numFmtId="0" fontId="100" fillId="0" borderId="66" xfId="4496" applyFont="1" applyBorder="1" applyAlignment="1">
      <alignment vertical="center"/>
    </xf>
    <xf numFmtId="0" fontId="100" fillId="0" borderId="41" xfId="4496" applyFont="1" applyBorder="1" applyAlignment="1">
      <alignment vertical="center"/>
    </xf>
    <xf numFmtId="182" fontId="100" fillId="0" borderId="73" xfId="4496" applyNumberFormat="1" applyFont="1" applyBorder="1" applyAlignment="1">
      <alignment vertical="center"/>
    </xf>
    <xf numFmtId="175" fontId="100" fillId="0" borderId="42" xfId="4499" applyNumberFormat="1" applyFont="1" applyFill="1" applyBorder="1" applyAlignment="1" applyProtection="1">
      <alignment horizontal="left" vertical="center"/>
    </xf>
    <xf numFmtId="0" fontId="100" fillId="0" borderId="42" xfId="4496" applyFont="1" applyBorder="1" applyAlignment="1">
      <alignment vertical="center"/>
    </xf>
    <xf numFmtId="0" fontId="100" fillId="0" borderId="44" xfId="4496" applyFont="1" applyBorder="1" applyAlignment="1">
      <alignment vertical="center"/>
    </xf>
    <xf numFmtId="49" fontId="100" fillId="0" borderId="0" xfId="4496" applyNumberFormat="1" applyFont="1" applyAlignment="1">
      <alignment horizontal="center" vertical="center"/>
    </xf>
    <xf numFmtId="0" fontId="100" fillId="0" borderId="65" xfId="4496" applyFont="1" applyBorder="1" applyAlignment="1">
      <alignment vertical="center"/>
    </xf>
    <xf numFmtId="0" fontId="100" fillId="0" borderId="29" xfId="4496" applyFont="1" applyBorder="1" applyAlignment="1">
      <alignment vertical="center"/>
    </xf>
    <xf numFmtId="0" fontId="100" fillId="0" borderId="29" xfId="4496" applyFont="1" applyBorder="1" applyAlignment="1">
      <alignment horizontal="right" vertical="center"/>
    </xf>
    <xf numFmtId="5" fontId="100" fillId="0" borderId="29" xfId="4496" applyNumberFormat="1" applyFont="1" applyBorder="1" applyAlignment="1">
      <alignment vertical="center"/>
    </xf>
    <xf numFmtId="0" fontId="100" fillId="0" borderId="31" xfId="4496" applyFont="1" applyBorder="1" applyAlignment="1">
      <alignment vertical="center"/>
    </xf>
    <xf numFmtId="175" fontId="138" fillId="0" borderId="42" xfId="4494" applyNumberFormat="1" applyFont="1" applyFill="1" applyBorder="1" applyAlignment="1" applyProtection="1">
      <alignment horizontal="center" vertical="center"/>
    </xf>
    <xf numFmtId="0" fontId="138" fillId="0" borderId="29" xfId="4496" applyFont="1" applyBorder="1" applyAlignment="1">
      <alignment vertical="center"/>
    </xf>
    <xf numFmtId="0" fontId="138" fillId="0" borderId="0" xfId="4496" applyFont="1" applyAlignment="1">
      <alignment vertical="center"/>
    </xf>
    <xf numFmtId="0" fontId="138" fillId="0" borderId="42" xfId="4496" applyFont="1" applyBorder="1" applyAlignment="1">
      <alignment vertical="center"/>
    </xf>
    <xf numFmtId="9" fontId="138" fillId="0" borderId="42" xfId="4499" applyFont="1" applyFill="1" applyBorder="1" applyAlignment="1" applyProtection="1">
      <alignment vertical="center"/>
    </xf>
    <xf numFmtId="182" fontId="138" fillId="0" borderId="68" xfId="8721" applyNumberFormat="1" applyFont="1" applyBorder="1" applyProtection="1"/>
    <xf numFmtId="182" fontId="138" fillId="0" borderId="68" xfId="4496" applyNumberFormat="1" applyFont="1" applyBorder="1"/>
    <xf numFmtId="0" fontId="152" fillId="0" borderId="0" xfId="4496" applyFont="1" applyAlignment="1">
      <alignment horizontal="right"/>
    </xf>
    <xf numFmtId="0" fontId="100" fillId="0" borderId="0" xfId="4496" applyFont="1" applyAlignment="1">
      <alignment horizontal="right" vertical="top" wrapText="1" indent="1"/>
    </xf>
    <xf numFmtId="182" fontId="100" fillId="0" borderId="6" xfId="8721" applyNumberFormat="1" applyFont="1" applyBorder="1" applyAlignment="1" applyProtection="1">
      <alignment horizontal="center"/>
    </xf>
    <xf numFmtId="0" fontId="100" fillId="0" borderId="0" xfId="4496" applyFont="1" applyAlignment="1">
      <alignment horizontal="right" indent="1"/>
    </xf>
    <xf numFmtId="0" fontId="100" fillId="0" borderId="0" xfId="4496" applyFont="1" applyAlignment="1">
      <alignment horizontal="right" vertical="top"/>
    </xf>
    <xf numFmtId="0" fontId="138" fillId="0" borderId="0" xfId="4496" applyFont="1" applyAlignment="1">
      <alignment horizontal="right"/>
    </xf>
    <xf numFmtId="182" fontId="138" fillId="0" borderId="0" xfId="8721" applyNumberFormat="1" applyFont="1" applyBorder="1" applyAlignment="1" applyProtection="1">
      <alignment horizontal="center"/>
    </xf>
    <xf numFmtId="10" fontId="100" fillId="0" borderId="0" xfId="4494" applyNumberFormat="1" applyFont="1" applyBorder="1" applyAlignment="1" applyProtection="1">
      <alignment horizontal="center"/>
    </xf>
    <xf numFmtId="184" fontId="100" fillId="0" borderId="6" xfId="4496" applyNumberFormat="1" applyFont="1" applyBorder="1"/>
    <xf numFmtId="0" fontId="138" fillId="0" borderId="0" xfId="4496" applyFont="1" applyAlignment="1">
      <alignment horizontal="right" vertical="top"/>
    </xf>
    <xf numFmtId="182" fontId="138" fillId="0" borderId="0" xfId="4496" applyNumberFormat="1" applyFont="1"/>
    <xf numFmtId="182" fontId="100" fillId="0" borderId="6" xfId="8721" applyNumberFormat="1" applyFont="1" applyBorder="1" applyProtection="1"/>
    <xf numFmtId="184" fontId="100" fillId="0" borderId="0" xfId="4496" applyNumberFormat="1" applyFont="1" applyAlignment="1">
      <alignment horizontal="center"/>
    </xf>
    <xf numFmtId="0" fontId="100" fillId="0" borderId="6" xfId="4496" applyFont="1" applyBorder="1" applyAlignment="1">
      <alignment horizontal="right" vertical="top" wrapText="1" indent="1"/>
    </xf>
    <xf numFmtId="0" fontId="100" fillId="0" borderId="67" xfId="4496" applyFont="1" applyBorder="1" applyAlignment="1">
      <alignment horizontal="right" indent="1"/>
    </xf>
    <xf numFmtId="0" fontId="100" fillId="0" borderId="72" xfId="4496" applyFont="1" applyBorder="1" applyAlignment="1">
      <alignment horizontal="right" indent="1"/>
    </xf>
    <xf numFmtId="0" fontId="100" fillId="0" borderId="72" xfId="4496" quotePrefix="1" applyFont="1" applyBorder="1" applyAlignment="1">
      <alignment horizontal="right" indent="1"/>
    </xf>
    <xf numFmtId="0" fontId="100" fillId="0" borderId="69" xfId="4496" applyFont="1" applyBorder="1" applyAlignment="1">
      <alignment horizontal="right" indent="1"/>
    </xf>
    <xf numFmtId="182" fontId="100" fillId="0" borderId="71" xfId="4496" applyNumberFormat="1" applyFont="1" applyBorder="1"/>
    <xf numFmtId="182" fontId="100" fillId="0" borderId="76" xfId="4496" applyNumberFormat="1" applyFont="1" applyBorder="1"/>
    <xf numFmtId="182" fontId="100" fillId="0" borderId="77" xfId="4496" applyNumberFormat="1" applyFont="1" applyBorder="1"/>
    <xf numFmtId="175" fontId="26" fillId="0" borderId="0" xfId="543" applyNumberFormat="1" applyFont="1" applyAlignment="1">
      <alignment vertical="center"/>
    </xf>
    <xf numFmtId="10" fontId="138" fillId="0" borderId="0" xfId="4494" applyNumberFormat="1" applyFont="1" applyProtection="1"/>
    <xf numFmtId="0" fontId="26" fillId="0" borderId="0" xfId="1192" applyFont="1" applyAlignment="1">
      <alignment horizontal="left" indent="1"/>
    </xf>
    <xf numFmtId="168" fontId="100" fillId="0" borderId="11" xfId="4499" applyNumberFormat="1" applyFont="1" applyFill="1" applyBorder="1" applyAlignment="1" applyProtection="1">
      <alignment horizontal="left" vertical="center" indent="1"/>
    </xf>
    <xf numFmtId="168" fontId="138" fillId="0" borderId="68" xfId="4499" applyNumberFormat="1" applyFont="1" applyFill="1" applyBorder="1" applyAlignment="1" applyProtection="1">
      <alignment horizontal="left" vertical="center" indent="1"/>
    </xf>
    <xf numFmtId="182" fontId="100" fillId="0" borderId="13" xfId="4496" applyNumberFormat="1" applyFont="1" applyBorder="1"/>
    <xf numFmtId="182" fontId="100" fillId="0" borderId="70" xfId="4496" applyNumberFormat="1" applyFont="1" applyBorder="1"/>
    <xf numFmtId="0" fontId="37" fillId="0" borderId="0" xfId="4495" applyFont="1" applyAlignment="1">
      <alignment vertical="center"/>
    </xf>
    <xf numFmtId="0" fontId="124" fillId="0" borderId="0" xfId="4496" applyFont="1" applyAlignment="1">
      <alignment vertical="center" wrapText="1"/>
    </xf>
    <xf numFmtId="0" fontId="24" fillId="43" borderId="0" xfId="1192" applyFont="1" applyFill="1"/>
    <xf numFmtId="3" fontId="70" fillId="43" borderId="6" xfId="1192" applyNumberFormat="1" applyFont="1" applyFill="1" applyBorder="1"/>
    <xf numFmtId="0" fontId="154" fillId="0" borderId="0" xfId="0" applyFont="1"/>
    <xf numFmtId="0" fontId="24" fillId="0" borderId="11" xfId="253" applyFont="1" applyBorder="1" applyAlignment="1" applyProtection="1">
      <alignment horizontal="center" wrapText="1"/>
      <protection locked="0"/>
    </xf>
    <xf numFmtId="0" fontId="155" fillId="0" borderId="0" xfId="0" applyFont="1"/>
    <xf numFmtId="0" fontId="156" fillId="0" borderId="0" xfId="0" applyFont="1" applyAlignment="1">
      <alignment horizontal="center"/>
    </xf>
    <xf numFmtId="0" fontId="55" fillId="5" borderId="11" xfId="0" applyFont="1" applyFill="1" applyBorder="1" applyAlignment="1" applyProtection="1">
      <alignment horizontal="right" vertical="top" wrapText="1"/>
      <protection locked="0"/>
    </xf>
    <xf numFmtId="0" fontId="19" fillId="43" borderId="3" xfId="569" applyFill="1" applyBorder="1"/>
    <xf numFmtId="0" fontId="15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100" fillId="43" borderId="6" xfId="4496" applyFont="1" applyFill="1" applyBorder="1" applyProtection="1">
      <protection locked="0"/>
    </xf>
    <xf numFmtId="1" fontId="100" fillId="0" borderId="0" xfId="4496" applyNumberFormat="1" applyFont="1" applyProtection="1">
      <protection locked="0"/>
    </xf>
    <xf numFmtId="182" fontId="164" fillId="0" borderId="11" xfId="4496" applyNumberFormat="1" applyFont="1" applyBorder="1"/>
    <xf numFmtId="44" fontId="100" fillId="0" borderId="0" xfId="4496" applyNumberFormat="1" applyFont="1"/>
    <xf numFmtId="182" fontId="24" fillId="0" borderId="11" xfId="4496" applyNumberFormat="1" applyFont="1" applyBorder="1"/>
    <xf numFmtId="9" fontId="100" fillId="0" borderId="0" xfId="4494" applyFont="1"/>
    <xf numFmtId="182" fontId="100" fillId="43" borderId="6" xfId="8721" applyNumberFormat="1" applyFont="1" applyFill="1" applyBorder="1" applyProtection="1">
      <protection locked="0"/>
    </xf>
    <xf numFmtId="0" fontId="19" fillId="0" borderId="0" xfId="4495" applyFont="1" applyAlignment="1">
      <alignment wrapText="1"/>
    </xf>
    <xf numFmtId="168" fontId="176" fillId="48" borderId="79" xfId="700" applyNumberFormat="1" applyFont="1" applyFill="1" applyBorder="1" applyAlignment="1" applyProtection="1">
      <protection locked="0"/>
    </xf>
    <xf numFmtId="3" fontId="47" fillId="10" borderId="0" xfId="543" applyNumberFormat="1" applyFont="1" applyFill="1" applyAlignment="1">
      <alignment vertical="center" wrapText="1"/>
    </xf>
    <xf numFmtId="0" fontId="183" fillId="0" borderId="0" xfId="543" applyFont="1" applyAlignment="1">
      <alignment horizontal="left" vertical="center"/>
    </xf>
    <xf numFmtId="0" fontId="184" fillId="0" borderId="0" xfId="543" applyFont="1" applyAlignment="1">
      <alignment horizontal="right" vertical="top" wrapText="1"/>
    </xf>
    <xf numFmtId="168" fontId="184" fillId="0" borderId="0" xfId="543" applyNumberFormat="1" applyFont="1" applyAlignment="1">
      <alignment horizontal="center" vertical="center"/>
    </xf>
    <xf numFmtId="0" fontId="185" fillId="0" borderId="0" xfId="543" applyFont="1" applyAlignment="1">
      <alignment horizontal="left" vertical="center"/>
    </xf>
    <xf numFmtId="0" fontId="185" fillId="0" borderId="0" xfId="543" applyFont="1" applyAlignment="1">
      <alignment horizontal="right" vertical="top" wrapText="1"/>
    </xf>
    <xf numFmtId="168" fontId="184" fillId="0" borderId="104" xfId="543" applyNumberFormat="1" applyFont="1" applyBorder="1" applyAlignment="1">
      <alignment horizontal="center" vertical="center"/>
    </xf>
    <xf numFmtId="0" fontId="18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4" fillId="52" borderId="113" xfId="0" applyFont="1" applyFill="1" applyBorder="1"/>
    <xf numFmtId="0" fontId="12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70" fillId="0" borderId="0" xfId="698" applyNumberFormat="1" applyFont="1"/>
    <xf numFmtId="0" fontId="187" fillId="0" borderId="0" xfId="0" applyFont="1" applyAlignment="1">
      <alignment horizontal="center"/>
    </xf>
    <xf numFmtId="0" fontId="19" fillId="0" borderId="0" xfId="569" quotePrefix="1"/>
    <xf numFmtId="168" fontId="157" fillId="0" borderId="0" xfId="0" applyNumberFormat="1" applyFont="1" applyAlignment="1">
      <alignment vertical="center" wrapText="1"/>
    </xf>
    <xf numFmtId="168" fontId="18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24" fillId="0" borderId="58" xfId="4496" applyFont="1" applyBorder="1" applyAlignment="1">
      <alignment vertical="center"/>
    </xf>
    <xf numFmtId="0" fontId="26" fillId="0" borderId="5" xfId="4495" applyFont="1" applyBorder="1"/>
    <xf numFmtId="182" fontId="100" fillId="0" borderId="6" xfId="4496" applyNumberFormat="1" applyFont="1" applyBorder="1" applyAlignment="1">
      <alignment vertical="center"/>
    </xf>
    <xf numFmtId="1" fontId="100" fillId="0" borderId="0" xfId="4496" applyNumberFormat="1" applyFont="1" applyAlignment="1">
      <alignment horizontal="right" vertical="top" wrapText="1" indent="1"/>
    </xf>
    <xf numFmtId="3" fontId="100" fillId="43" borderId="6" xfId="4496" applyNumberFormat="1" applyFont="1" applyFill="1" applyBorder="1" applyAlignment="1" applyProtection="1">
      <alignment horizontal="center"/>
      <protection locked="0"/>
    </xf>
    <xf numFmtId="0" fontId="3" fillId="0" borderId="0" xfId="8736"/>
    <xf numFmtId="0" fontId="170" fillId="0" borderId="0" xfId="8736" applyFont="1"/>
    <xf numFmtId="0" fontId="105" fillId="0" borderId="0" xfId="8736" applyFont="1"/>
    <xf numFmtId="0" fontId="3" fillId="47" borderId="66" xfId="8736" applyFill="1" applyBorder="1"/>
    <xf numFmtId="0" fontId="3" fillId="47" borderId="0" xfId="8736" applyFill="1"/>
    <xf numFmtId="0" fontId="104" fillId="47" borderId="0" xfId="8736" applyFont="1" applyFill="1"/>
    <xf numFmtId="9" fontId="3" fillId="44" borderId="3" xfId="1022" applyFont="1" applyFill="1" applyBorder="1" applyAlignment="1">
      <alignment horizontal="centerContinuous"/>
    </xf>
    <xf numFmtId="9" fontId="3" fillId="44" borderId="4" xfId="1022" applyFont="1" applyFill="1" applyBorder="1" applyAlignment="1">
      <alignment horizontal="centerContinuous"/>
    </xf>
    <xf numFmtId="9" fontId="3" fillId="44" borderId="5" xfId="1022" applyFont="1" applyFill="1" applyBorder="1" applyAlignment="1">
      <alignment horizontal="centerContinuous"/>
    </xf>
    <xf numFmtId="0" fontId="104" fillId="47" borderId="41" xfId="8736" applyFont="1" applyFill="1" applyBorder="1" applyAlignment="1">
      <alignment horizontal="center"/>
    </xf>
    <xf numFmtId="182" fontId="175" fillId="47" borderId="0" xfId="8737" applyNumberFormat="1" applyFont="1" applyFill="1" applyBorder="1" applyAlignment="1"/>
    <xf numFmtId="0" fontId="3" fillId="47" borderId="41" xfId="8736" applyFill="1" applyBorder="1"/>
    <xf numFmtId="0" fontId="105" fillId="47" borderId="0" xfId="8736" applyFont="1" applyFill="1"/>
    <xf numFmtId="0" fontId="179" fillId="47" borderId="0" xfId="8736" applyFont="1" applyFill="1"/>
    <xf numFmtId="0" fontId="104" fillId="47" borderId="41" xfId="8736" applyFont="1" applyFill="1" applyBorder="1"/>
    <xf numFmtId="0" fontId="104" fillId="0" borderId="0" xfId="8736" applyFont="1"/>
    <xf numFmtId="0" fontId="167" fillId="0" borderId="0" xfId="8736" applyFont="1"/>
    <xf numFmtId="0" fontId="104" fillId="54" borderId="100" xfId="8736" applyFont="1" applyFill="1" applyBorder="1"/>
    <xf numFmtId="0" fontId="3" fillId="53" borderId="99" xfId="8736" applyFill="1" applyBorder="1"/>
    <xf numFmtId="0" fontId="3" fillId="52" borderId="99" xfId="8736" applyFill="1" applyBorder="1"/>
    <xf numFmtId="0" fontId="10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104" fillId="45" borderId="0" xfId="8736" applyFont="1" applyFill="1"/>
    <xf numFmtId="0" fontId="104" fillId="45" borderId="12" xfId="8736" applyFont="1" applyFill="1" applyBorder="1"/>
    <xf numFmtId="0" fontId="104" fillId="45" borderId="29" xfId="8736" applyFont="1" applyFill="1" applyBorder="1"/>
    <xf numFmtId="0" fontId="104" fillId="45" borderId="80" xfId="8736" applyFont="1" applyFill="1" applyBorder="1"/>
    <xf numFmtId="0" fontId="104" fillId="45" borderId="79" xfId="8736" applyFont="1" applyFill="1" applyBorder="1"/>
    <xf numFmtId="0" fontId="104" fillId="45" borderId="78" xfId="8736" applyFont="1" applyFill="1" applyBorder="1"/>
    <xf numFmtId="0" fontId="104" fillId="45" borderId="93" xfId="8736" applyFont="1" applyFill="1" applyBorder="1"/>
    <xf numFmtId="0" fontId="104" fillId="45" borderId="6" xfId="8736" applyFont="1" applyFill="1" applyBorder="1"/>
    <xf numFmtId="0" fontId="104" fillId="45" borderId="10" xfId="8736" applyFont="1" applyFill="1" applyBorder="1"/>
    <xf numFmtId="0" fontId="170" fillId="44" borderId="0" xfId="8736" applyFont="1" applyFill="1"/>
    <xf numFmtId="10" fontId="170" fillId="44" borderId="0" xfId="1022" applyNumberFormat="1" applyFont="1" applyFill="1"/>
    <xf numFmtId="0" fontId="3" fillId="45" borderId="29" xfId="8736" applyFill="1" applyBorder="1"/>
    <xf numFmtId="0" fontId="3" fillId="45" borderId="31" xfId="8736" applyFill="1" applyBorder="1"/>
    <xf numFmtId="0" fontId="104" fillId="45" borderId="92" xfId="8736" applyFont="1" applyFill="1" applyBorder="1"/>
    <xf numFmtId="0" fontId="104" fillId="45" borderId="74" xfId="8736" applyFont="1" applyFill="1" applyBorder="1"/>
    <xf numFmtId="0" fontId="181" fillId="47" borderId="0" xfId="8736" applyFont="1" applyFill="1"/>
    <xf numFmtId="0" fontId="104" fillId="45" borderId="31" xfId="8736" applyFont="1" applyFill="1" applyBorder="1"/>
    <xf numFmtId="0" fontId="3" fillId="47" borderId="0" xfId="8736" applyFill="1" applyAlignment="1">
      <alignment horizontal="left"/>
    </xf>
    <xf numFmtId="0" fontId="173" fillId="51" borderId="11" xfId="8736" applyFont="1" applyFill="1" applyBorder="1"/>
    <xf numFmtId="0" fontId="173" fillId="51" borderId="76" xfId="8736" applyFont="1" applyFill="1" applyBorder="1"/>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104" fillId="47" borderId="66" xfId="8736" applyFont="1" applyFill="1" applyBorder="1"/>
    <xf numFmtId="49" fontId="10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65" fillId="0" borderId="0" xfId="8736" applyFont="1"/>
    <xf numFmtId="0" fontId="25" fillId="3" borderId="0" xfId="0" applyFont="1" applyFill="1" applyAlignment="1">
      <alignment horizontal="center" vertical="center" wrapText="1"/>
    </xf>
    <xf numFmtId="0" fontId="25" fillId="3" borderId="16" xfId="0" applyFont="1" applyFill="1" applyBorder="1" applyAlignment="1">
      <alignment horizontal="center" vertical="center" wrapText="1"/>
    </xf>
    <xf numFmtId="0" fontId="19" fillId="0" borderId="0" xfId="0" applyFont="1" applyAlignment="1">
      <alignment horizontal="left" vertical="top" wrapText="1"/>
    </xf>
    <xf numFmtId="0" fontId="107" fillId="0" borderId="0" xfId="0" applyFont="1" applyAlignment="1">
      <alignment horizontal="left" vertical="top" wrapText="1"/>
    </xf>
    <xf numFmtId="0" fontId="20" fillId="0" borderId="0" xfId="244" applyAlignment="1">
      <alignment horizontal="left" vertical="top"/>
    </xf>
    <xf numFmtId="0" fontId="48" fillId="0" borderId="0" xfId="0" applyFont="1" applyAlignment="1">
      <alignment horizontal="left" vertical="top" wrapText="1"/>
    </xf>
    <xf numFmtId="0" fontId="115" fillId="0" borderId="0" xfId="0" applyFont="1" applyAlignment="1">
      <alignment horizontal="left" wrapText="1"/>
    </xf>
    <xf numFmtId="0" fontId="19"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16" fillId="0" borderId="0" xfId="569" applyFont="1" applyAlignment="1">
      <alignment horizontal="center"/>
    </xf>
    <xf numFmtId="0" fontId="11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19" fillId="0" borderId="0" xfId="0" applyFont="1" applyAlignment="1">
      <alignment vertical="top" wrapText="1"/>
    </xf>
    <xf numFmtId="0" fontId="20" fillId="0" borderId="0" xfId="244" applyFill="1" applyBorder="1" applyAlignment="1">
      <alignment horizontal="left" vertical="top" wrapText="1"/>
    </xf>
    <xf numFmtId="0" fontId="19" fillId="0" borderId="0" xfId="0" applyFont="1" applyAlignment="1">
      <alignment vertical="center"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9" fillId="0" borderId="11" xfId="543" applyNumberFormat="1" applyBorder="1" applyAlignment="1">
      <alignment horizontal="center"/>
    </xf>
    <xf numFmtId="168" fontId="185" fillId="0" borderId="105" xfId="543" applyNumberFormat="1" applyFont="1" applyBorder="1" applyAlignment="1">
      <alignment horizontal="right" vertical="center" wrapText="1"/>
    </xf>
    <xf numFmtId="0" fontId="0" fillId="5" borderId="6" xfId="0" applyFill="1" applyBorder="1" applyAlignment="1" applyProtection="1">
      <alignment horizontal="center"/>
      <protection locked="0"/>
    </xf>
    <xf numFmtId="0" fontId="28" fillId="0" borderId="0" xfId="543" applyFont="1" applyAlignment="1">
      <alignment horizontal="center"/>
    </xf>
    <xf numFmtId="0" fontId="0" fillId="0" borderId="0" xfId="0" applyAlignment="1">
      <alignment horizontal="center"/>
    </xf>
    <xf numFmtId="0" fontId="19" fillId="0" borderId="0" xfId="543" applyAlignment="1">
      <alignment wrapText="1"/>
    </xf>
    <xf numFmtId="0" fontId="26" fillId="0" borderId="0" xfId="0" applyFont="1" applyAlignment="1">
      <alignment horizontal="center"/>
    </xf>
    <xf numFmtId="0" fontId="160" fillId="0" borderId="8" xfId="543" applyFont="1" applyBorder="1" applyAlignment="1">
      <alignment horizontal="center" wrapText="1"/>
    </xf>
    <xf numFmtId="0" fontId="160" fillId="0" borderId="0" xfId="543" applyFont="1" applyAlignment="1">
      <alignment horizontal="center" wrapText="1"/>
    </xf>
    <xf numFmtId="0" fontId="160" fillId="0" borderId="12" xfId="543" applyFont="1" applyBorder="1" applyAlignment="1">
      <alignment horizontal="center" wrapText="1"/>
    </xf>
    <xf numFmtId="0" fontId="160" fillId="0" borderId="9" xfId="543" applyFont="1" applyBorder="1" applyAlignment="1">
      <alignment horizontal="center" wrapText="1"/>
    </xf>
    <xf numFmtId="0" fontId="160" fillId="0" borderId="6" xfId="543" applyFont="1" applyBorder="1" applyAlignment="1">
      <alignment horizontal="center" wrapText="1"/>
    </xf>
    <xf numFmtId="0" fontId="160" fillId="0" borderId="10" xfId="543" applyFont="1" applyBorder="1" applyAlignment="1">
      <alignment horizontal="center" wrapText="1"/>
    </xf>
    <xf numFmtId="0" fontId="160" fillId="0" borderId="8" xfId="543" applyFont="1" applyBorder="1" applyAlignment="1">
      <alignment horizontal="center" vertical="top" wrapText="1"/>
    </xf>
    <xf numFmtId="0" fontId="160" fillId="0" borderId="0" xfId="543" applyFont="1" applyAlignment="1">
      <alignment horizontal="center" vertical="top" wrapText="1"/>
    </xf>
    <xf numFmtId="0" fontId="160" fillId="0" borderId="12" xfId="543" applyFont="1" applyBorder="1" applyAlignment="1">
      <alignment horizontal="center" vertical="top" wrapText="1"/>
    </xf>
    <xf numFmtId="0" fontId="160" fillId="0" borderId="9" xfId="543" applyFont="1" applyBorder="1" applyAlignment="1">
      <alignment horizontal="center" vertical="top" wrapText="1"/>
    </xf>
    <xf numFmtId="0" fontId="160" fillId="0" borderId="6" xfId="543" applyFont="1" applyBorder="1" applyAlignment="1">
      <alignment horizontal="center" vertical="top" wrapText="1"/>
    </xf>
    <xf numFmtId="0" fontId="160" fillId="0" borderId="10" xfId="543" applyFont="1" applyBorder="1" applyAlignment="1">
      <alignment horizontal="center" vertical="top" wrapText="1"/>
    </xf>
    <xf numFmtId="0" fontId="157" fillId="0" borderId="0" xfId="0" applyFont="1" applyAlignment="1">
      <alignment horizontal="center" vertic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8" fillId="5" borderId="3" xfId="0" applyFont="1" applyFill="1" applyBorder="1" applyAlignment="1" applyProtection="1">
      <alignment horizontal="center"/>
      <protection locked="0"/>
    </xf>
    <xf numFmtId="0" fontId="28" fillId="5" borderId="4" xfId="0" applyFont="1" applyFill="1" applyBorder="1" applyAlignment="1" applyProtection="1">
      <alignment horizontal="center"/>
      <protection locked="0"/>
    </xf>
    <xf numFmtId="0" fontId="28"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40" fillId="0" borderId="3" xfId="543" applyFont="1" applyBorder="1" applyAlignment="1">
      <alignment horizontal="center"/>
    </xf>
    <xf numFmtId="0" fontId="40" fillId="0" borderId="4" xfId="543" applyFont="1" applyBorder="1" applyAlignment="1">
      <alignment horizontal="center"/>
    </xf>
    <xf numFmtId="0" fontId="40" fillId="0" borderId="5" xfId="543" applyFont="1" applyBorder="1" applyAlignment="1">
      <alignment horizontal="center"/>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28" fillId="0" borderId="4" xfId="0" applyNumberFormat="1" applyFont="1" applyBorder="1" applyAlignment="1">
      <alignment horizontal="center"/>
    </xf>
    <xf numFmtId="168" fontId="28" fillId="5" borderId="3" xfId="0" applyNumberFormat="1" applyFont="1" applyFill="1" applyBorder="1" applyAlignment="1" applyProtection="1">
      <alignment horizontal="center"/>
      <protection locked="0"/>
    </xf>
    <xf numFmtId="168" fontId="28" fillId="5" borderId="4" xfId="0" applyNumberFormat="1" applyFont="1" applyFill="1" applyBorder="1" applyAlignment="1" applyProtection="1">
      <alignment horizontal="center"/>
      <protection locked="0"/>
    </xf>
    <xf numFmtId="168" fontId="28" fillId="5" borderId="5" xfId="0" applyNumberFormat="1" applyFont="1" applyFill="1" applyBorder="1" applyAlignment="1" applyProtection="1">
      <alignment horizontal="center"/>
      <protection locked="0"/>
    </xf>
    <xf numFmtId="168" fontId="28" fillId="0" borderId="3" xfId="0" applyNumberFormat="1" applyFont="1" applyBorder="1" applyAlignment="1">
      <alignment horizontal="center"/>
    </xf>
    <xf numFmtId="168" fontId="28" fillId="0" borderId="5" xfId="0" applyNumberFormat="1" applyFont="1" applyBorder="1" applyAlignment="1">
      <alignment horizontal="center"/>
    </xf>
    <xf numFmtId="9" fontId="28" fillId="5" borderId="3" xfId="0" applyNumberFormat="1" applyFont="1" applyFill="1" applyBorder="1" applyAlignment="1" applyProtection="1">
      <alignment horizontal="center"/>
      <protection locked="0"/>
    </xf>
    <xf numFmtId="9" fontId="28" fillId="5" borderId="4" xfId="0" applyNumberFormat="1" applyFont="1" applyFill="1" applyBorder="1" applyAlignment="1" applyProtection="1">
      <alignment horizontal="center"/>
      <protection locked="0"/>
    </xf>
    <xf numFmtId="9" fontId="2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8" fillId="0" borderId="1" xfId="0" applyFont="1" applyBorder="1" applyAlignment="1">
      <alignment horizontal="center" vertical="top" wrapText="1"/>
    </xf>
    <xf numFmtId="0" fontId="28" fillId="0" borderId="2" xfId="0" applyFont="1" applyBorder="1" applyAlignment="1">
      <alignment horizontal="center" vertical="top" wrapText="1"/>
    </xf>
    <xf numFmtId="0" fontId="28" fillId="0" borderId="7" xfId="0" applyFont="1" applyBorder="1" applyAlignment="1">
      <alignment horizontal="center" vertical="top" wrapText="1"/>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2" xfId="0" applyFont="1" applyBorder="1" applyAlignment="1">
      <alignment horizontal="center" vertical="top" wrapText="1"/>
    </xf>
    <xf numFmtId="0" fontId="28" fillId="0" borderId="9" xfId="0" applyFont="1" applyBorder="1" applyAlignment="1">
      <alignment horizontal="center" vertical="top" wrapText="1"/>
    </xf>
    <xf numFmtId="0" fontId="28" fillId="0" borderId="6" xfId="0" applyFont="1" applyBorder="1" applyAlignment="1">
      <alignment horizontal="center" vertical="top" wrapText="1"/>
    </xf>
    <xf numFmtId="0" fontId="28" fillId="0" borderId="10" xfId="0" applyFont="1" applyBorder="1" applyAlignment="1">
      <alignment horizontal="center" vertical="top" wrapText="1"/>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19" fillId="0" borderId="3" xfId="0" applyFont="1" applyBorder="1"/>
    <xf numFmtId="0" fontId="19" fillId="0" borderId="4" xfId="0" applyFont="1" applyBorder="1"/>
    <xf numFmtId="0" fontId="19" fillId="0" borderId="5" xfId="0" applyFont="1" applyBorder="1"/>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55" fillId="5" borderId="3" xfId="0" applyFont="1" applyFill="1" applyBorder="1" applyAlignment="1" applyProtection="1">
      <alignment horizontal="right"/>
      <protection locked="0"/>
    </xf>
    <xf numFmtId="0" fontId="55" fillId="5" borderId="4" xfId="0" applyFont="1" applyFill="1" applyBorder="1" applyAlignment="1" applyProtection="1">
      <alignment horizontal="right"/>
      <protection locked="0"/>
    </xf>
    <xf numFmtId="0" fontId="55" fillId="5" borderId="5" xfId="0" applyFon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165" fontId="28" fillId="0" borderId="1" xfId="0" applyNumberFormat="1" applyFont="1" applyBorder="1" applyAlignment="1">
      <alignment horizontal="right"/>
    </xf>
    <xf numFmtId="165" fontId="28" fillId="0" borderId="2" xfId="0" applyNumberFormat="1" applyFont="1" applyBorder="1" applyAlignment="1">
      <alignment horizontal="right"/>
    </xf>
    <xf numFmtId="165" fontId="28" fillId="0" borderId="7" xfId="0" applyNumberFormat="1" applyFont="1" applyBorder="1" applyAlignment="1">
      <alignment horizontal="right"/>
    </xf>
    <xf numFmtId="3" fontId="19" fillId="43" borderId="3" xfId="0" applyNumberFormat="1"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8"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8" fillId="5" borderId="4" xfId="0" applyFont="1" applyFill="1" applyBorder="1" applyAlignment="1" applyProtection="1">
      <alignment horizontal="left"/>
      <protection locked="0"/>
    </xf>
    <xf numFmtId="0" fontId="0" fillId="0" borderId="6" xfId="0" applyBorder="1" applyAlignment="1">
      <alignment horizontal="left"/>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4" xfId="0" applyFont="1" applyFill="1" applyBorder="1" applyAlignment="1" applyProtection="1">
      <alignment wrapText="1"/>
      <protection locked="0"/>
    </xf>
    <xf numFmtId="0" fontId="19" fillId="5" borderId="11" xfId="0" applyFont="1" applyFill="1" applyBorder="1" applyAlignment="1" applyProtection="1">
      <alignment horizontal="left" wrapText="1"/>
      <protection locked="0"/>
    </xf>
    <xf numFmtId="0" fontId="26" fillId="0" borderId="11" xfId="0" applyFont="1" applyBorder="1" applyAlignment="1">
      <alignment horizontal="center" vertical="center" wrapText="1"/>
    </xf>
    <xf numFmtId="0" fontId="0" fillId="5" borderId="4" xfId="0" applyFill="1" applyBorder="1" applyAlignment="1" applyProtection="1">
      <alignment horizontal="left"/>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166" fontId="28" fillId="5" borderId="4" xfId="0" applyNumberFormat="1" applyFont="1" applyFill="1" applyBorder="1" applyAlignment="1" applyProtection="1">
      <alignment horizontal="left"/>
      <protection locked="0"/>
    </xf>
    <xf numFmtId="0" fontId="52"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wrapText="1"/>
    </xf>
    <xf numFmtId="0" fontId="19" fillId="0" borderId="0" xfId="0" applyFont="1" applyAlignment="1">
      <alignment horizontal="center" vertical="top"/>
    </xf>
    <xf numFmtId="0" fontId="28" fillId="0" borderId="0" xfId="0" applyFont="1" applyAlignment="1">
      <alignment horizontal="left" vertical="top" wrapText="1"/>
    </xf>
    <xf numFmtId="0" fontId="28" fillId="5" borderId="6" xfId="0" applyFont="1" applyFill="1" applyBorder="1" applyAlignment="1" applyProtection="1">
      <alignment horizontal="left"/>
      <protection locked="0"/>
    </xf>
    <xf numFmtId="168" fontId="28" fillId="0" borderId="6" xfId="0" applyNumberFormat="1" applyFont="1" applyBorder="1" applyAlignment="1">
      <alignment horizontal="center"/>
    </xf>
    <xf numFmtId="0" fontId="19" fillId="5" borderId="6" xfId="0" applyFont="1" applyFill="1" applyBorder="1" applyAlignment="1" applyProtection="1">
      <alignment horizontal="left" wrapText="1"/>
      <protection locked="0"/>
    </xf>
    <xf numFmtId="0" fontId="28" fillId="5" borderId="6" xfId="0" applyFont="1" applyFill="1" applyBorder="1" applyAlignment="1" applyProtection="1">
      <alignment horizontal="left" wrapText="1"/>
      <protection locked="0"/>
    </xf>
    <xf numFmtId="0" fontId="25" fillId="3" borderId="0" xfId="0" applyFont="1" applyFill="1" applyAlignment="1">
      <alignment horizontal="center" vertical="center"/>
    </xf>
    <xf numFmtId="166" fontId="19" fillId="5" borderId="6" xfId="0" applyNumberFormat="1" applyFont="1" applyFill="1" applyBorder="1" applyAlignment="1" applyProtection="1">
      <alignment horizontal="left"/>
      <protection locked="0"/>
    </xf>
    <xf numFmtId="166" fontId="28" fillId="5" borderId="6" xfId="0" applyNumberFormat="1" applyFont="1" applyFill="1" applyBorder="1" applyAlignment="1" applyProtection="1">
      <alignment horizontal="left"/>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28" fillId="5" borderId="9" xfId="0" applyFont="1" applyFill="1" applyBorder="1" applyAlignment="1" applyProtection="1">
      <alignment horizontal="center"/>
      <protection locked="0"/>
    </xf>
    <xf numFmtId="0" fontId="28" fillId="5" borderId="6" xfId="0"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6" fontId="19" fillId="5" borderId="4" xfId="0" applyNumberFormat="1" applyFont="1" applyFill="1" applyBorder="1" applyAlignment="1" applyProtection="1">
      <alignment horizontal="left"/>
      <protection locked="0"/>
    </xf>
    <xf numFmtId="0" fontId="19" fillId="0" borderId="3" xfId="0" applyFont="1" applyBorder="1" applyAlignment="1">
      <alignment horizontal="left"/>
    </xf>
    <xf numFmtId="0" fontId="19" fillId="0" borderId="4" xfId="0" applyFont="1" applyBorder="1" applyAlignment="1">
      <alignment horizontal="left"/>
    </xf>
    <xf numFmtId="0" fontId="19" fillId="0" borderId="5" xfId="0" applyFont="1" applyBorder="1" applyAlignment="1">
      <alignment horizontal="left"/>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4" fontId="28"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 fontId="28" fillId="5" borderId="3" xfId="0" applyNumberFormat="1" applyFont="1" applyFill="1" applyBorder="1" applyAlignment="1" applyProtection="1">
      <alignment horizontal="right" vertical="top"/>
      <protection locked="0"/>
    </xf>
    <xf numFmtId="1" fontId="28" fillId="5" borderId="4" xfId="0" applyNumberFormat="1" applyFont="1" applyFill="1" applyBorder="1" applyAlignment="1" applyProtection="1">
      <alignment horizontal="right" vertical="top"/>
      <protection locked="0"/>
    </xf>
    <xf numFmtId="1" fontId="28" fillId="5" borderId="5" xfId="0" applyNumberFormat="1" applyFont="1" applyFill="1" applyBorder="1" applyAlignment="1" applyProtection="1">
      <alignment horizontal="right" vertical="top"/>
      <protection locked="0"/>
    </xf>
    <xf numFmtId="0" fontId="28" fillId="45" borderId="11" xfId="0" applyFont="1" applyFill="1" applyBorder="1" applyAlignment="1">
      <alignment horizontal="center"/>
    </xf>
    <xf numFmtId="0" fontId="28" fillId="2" borderId="11" xfId="0" applyFont="1" applyFill="1" applyBorder="1" applyAlignment="1">
      <alignment horizontal="center"/>
    </xf>
    <xf numFmtId="0" fontId="19" fillId="0" borderId="11" xfId="543" applyBorder="1" applyAlignment="1">
      <alignment horizontal="center"/>
    </xf>
    <xf numFmtId="0" fontId="28" fillId="45" borderId="3" xfId="0" applyFont="1" applyFill="1" applyBorder="1" applyAlignment="1">
      <alignment horizontal="center"/>
    </xf>
    <xf numFmtId="0" fontId="28" fillId="45" borderId="4" xfId="0" applyFont="1" applyFill="1" applyBorder="1" applyAlignment="1">
      <alignment horizontal="center"/>
    </xf>
    <xf numFmtId="0" fontId="28" fillId="45" borderId="5" xfId="0" applyFont="1" applyFill="1" applyBorder="1" applyAlignment="1">
      <alignment horizontal="center"/>
    </xf>
    <xf numFmtId="0" fontId="19" fillId="0" borderId="11"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42" fillId="0" borderId="3" xfId="0" applyFont="1" applyBorder="1" applyAlignment="1">
      <alignment horizontal="center"/>
    </xf>
    <xf numFmtId="0" fontId="42" fillId="0" borderId="4" xfId="0" applyFont="1" applyBorder="1" applyAlignment="1">
      <alignment horizontal="center"/>
    </xf>
    <xf numFmtId="0" fontId="42" fillId="0" borderId="5" xfId="0" applyFont="1" applyBorder="1" applyAlignment="1">
      <alignment horizontal="center"/>
    </xf>
    <xf numFmtId="0" fontId="39" fillId="0" borderId="4" xfId="543" applyFont="1" applyBorder="1" applyAlignment="1">
      <alignment horizontal="right" vertical="top" wrapText="1"/>
    </xf>
    <xf numFmtId="0" fontId="39" fillId="0" borderId="5" xfId="543" applyFont="1" applyBorder="1" applyAlignment="1">
      <alignment horizontal="right" vertical="top"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38" fillId="0" borderId="3" xfId="543" applyFont="1" applyBorder="1" applyAlignment="1">
      <alignment horizontal="center"/>
    </xf>
    <xf numFmtId="0" fontId="38" fillId="0" borderId="5" xfId="543" applyFont="1" applyBorder="1" applyAlignment="1">
      <alignment horizontal="center"/>
    </xf>
    <xf numFmtId="0" fontId="27" fillId="5" borderId="3" xfId="543" applyFont="1" applyFill="1" applyBorder="1" applyAlignment="1" applyProtection="1">
      <alignment horizontal="center"/>
      <protection locked="0"/>
    </xf>
    <xf numFmtId="0" fontId="38" fillId="5" borderId="5" xfId="543" applyFont="1" applyFill="1" applyBorder="1" applyAlignment="1" applyProtection="1">
      <alignment horizontal="center"/>
      <protection locked="0"/>
    </xf>
    <xf numFmtId="182" fontId="27" fillId="43" borderId="11" xfId="8721" applyNumberFormat="1" applyFont="1" applyFill="1" applyBorder="1" applyAlignment="1" applyProtection="1">
      <alignment horizontal="center" vertical="center" wrapText="1"/>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38" fillId="5" borderId="3" xfId="543" applyFont="1" applyFill="1" applyBorder="1" applyAlignment="1" applyProtection="1">
      <alignment horizontal="center"/>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46" fillId="0" borderId="8" xfId="543" applyFont="1" applyBorder="1" applyAlignment="1">
      <alignment horizontal="center" vertical="center" wrapText="1"/>
    </xf>
    <xf numFmtId="0" fontId="46" fillId="0" borderId="0" xfId="543" applyFont="1" applyAlignment="1">
      <alignment horizontal="center" vertical="center" wrapText="1"/>
    </xf>
    <xf numFmtId="0" fontId="46" fillId="0" borderId="12" xfId="543" applyFont="1" applyBorder="1" applyAlignment="1">
      <alignment horizontal="center" vertical="center" wrapText="1"/>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38" fillId="5" borderId="9" xfId="543" applyFont="1" applyFill="1" applyBorder="1" applyAlignment="1" applyProtection="1">
      <alignment horizontal="center"/>
      <protection locked="0"/>
    </xf>
    <xf numFmtId="0" fontId="38"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38" fillId="5" borderId="3" xfId="543" applyFont="1" applyFill="1" applyBorder="1" applyAlignment="1" applyProtection="1">
      <alignment horizontal="center" vertical="top"/>
      <protection locked="0"/>
    </xf>
    <xf numFmtId="0" fontId="38" fillId="5" borderId="5" xfId="543" applyFont="1" applyFill="1" applyBorder="1" applyAlignment="1" applyProtection="1">
      <alignment horizontal="center" vertical="top"/>
      <protection locked="0"/>
    </xf>
    <xf numFmtId="164" fontId="38" fillId="5" borderId="4" xfId="0" applyNumberFormat="1" applyFont="1" applyFill="1" applyBorder="1" applyAlignment="1" applyProtection="1">
      <alignment horizontal="left"/>
      <protection locked="0"/>
    </xf>
    <xf numFmtId="164" fontId="38" fillId="5" borderId="5" xfId="0" applyNumberFormat="1" applyFont="1" applyFill="1" applyBorder="1" applyAlignment="1" applyProtection="1">
      <alignment horizontal="left"/>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0" fontId="19" fillId="0" borderId="8" xfId="0" applyFont="1" applyBorder="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53" fillId="0" borderId="8" xfId="543" applyFont="1" applyBorder="1" applyAlignment="1">
      <alignment horizontal="center" vertical="center" wrapText="1"/>
    </xf>
    <xf numFmtId="0" fontId="153" fillId="0" borderId="0" xfId="543" applyFont="1" applyAlignment="1">
      <alignment horizontal="center" vertical="center" wrapText="1"/>
    </xf>
    <xf numFmtId="0" fontId="153" fillId="0" borderId="12" xfId="543" applyFont="1" applyBorder="1" applyAlignment="1">
      <alignment horizontal="center" vertical="center" wrapText="1"/>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19" fillId="5" borderId="3" xfId="543" applyFill="1" applyBorder="1" applyAlignment="1" applyProtection="1">
      <alignment horizontal="left" vertical="top" wrapText="1"/>
      <protection locked="0"/>
    </xf>
    <xf numFmtId="0" fontId="28" fillId="5" borderId="4" xfId="543" applyFont="1" applyFill="1" applyBorder="1" applyAlignment="1" applyProtection="1">
      <alignment horizontal="left" vertical="top" wrapText="1"/>
      <protection locked="0"/>
    </xf>
    <xf numFmtId="0" fontId="28" fillId="5" borderId="5" xfId="543" applyFont="1" applyFill="1" applyBorder="1" applyAlignment="1" applyProtection="1">
      <alignment horizontal="left" vertical="top" wrapText="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0" fillId="0" borderId="11" xfId="0" applyNumberFormat="1" applyBorder="1"/>
    <xf numFmtId="0" fontId="19" fillId="5" borderId="3" xfId="0" applyFont="1" applyFill="1" applyBorder="1" applyProtection="1">
      <protection locked="0"/>
    </xf>
    <xf numFmtId="0" fontId="28" fillId="0" borderId="4" xfId="0" applyFont="1" applyBorder="1" applyProtection="1">
      <protection locked="0"/>
    </xf>
    <xf numFmtId="0" fontId="28" fillId="0" borderId="5" xfId="0" applyFont="1" applyBorder="1" applyProtection="1">
      <protection locked="0"/>
    </xf>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28" fillId="0" borderId="4" xfId="0" applyNumberFormat="1" applyFont="1" applyBorder="1" applyAlignment="1">
      <alignment horizontal="center"/>
    </xf>
    <xf numFmtId="1" fontId="28" fillId="0" borderId="5" xfId="0" applyNumberFormat="1" applyFont="1" applyBorder="1" applyAlignment="1">
      <alignment horizontal="center"/>
    </xf>
    <xf numFmtId="0" fontId="28" fillId="5" borderId="6" xfId="27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38" fillId="5" borderId="3" xfId="0" applyNumberFormat="1" applyFont="1" applyFill="1" applyBorder="1" applyAlignment="1" applyProtection="1">
      <alignment horizontal="left"/>
      <protection locked="0"/>
    </xf>
    <xf numFmtId="0" fontId="39" fillId="0" borderId="1" xfId="543" applyFont="1" applyBorder="1" applyAlignment="1">
      <alignment horizontal="right"/>
    </xf>
    <xf numFmtId="0" fontId="39" fillId="0" borderId="2" xfId="543" applyFont="1" applyBorder="1" applyAlignment="1">
      <alignment horizontal="right"/>
    </xf>
    <xf numFmtId="0" fontId="39" fillId="0" borderId="7" xfId="543" applyFont="1" applyBorder="1" applyAlignment="1">
      <alignment horizontal="right"/>
    </xf>
    <xf numFmtId="0" fontId="19" fillId="0" borderId="0" xfId="543" applyAlignment="1">
      <alignment horizontal="center"/>
    </xf>
    <xf numFmtId="2" fontId="19" fillId="0" borderId="0" xfId="543" applyNumberFormat="1" applyAlignment="1">
      <alignment horizontal="center"/>
    </xf>
    <xf numFmtId="0" fontId="28" fillId="0" borderId="3" xfId="0" applyFont="1" applyBorder="1" applyAlignment="1">
      <alignment horizontal="left"/>
    </xf>
    <xf numFmtId="0" fontId="26" fillId="0" borderId="2" xfId="0" applyFont="1" applyBorder="1" applyAlignment="1">
      <alignment horizontal="right"/>
    </xf>
    <xf numFmtId="0" fontId="26" fillId="0" borderId="7" xfId="0" applyFont="1" applyBorder="1" applyAlignment="1">
      <alignment horizontal="right"/>
    </xf>
    <xf numFmtId="0" fontId="26" fillId="0" borderId="6" xfId="0" applyFont="1" applyBorder="1" applyAlignment="1">
      <alignment horizontal="center"/>
    </xf>
    <xf numFmtId="9" fontId="19" fillId="5" borderId="3" xfId="0" applyNumberFormat="1" applyFon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9" fillId="0" borderId="0" xfId="543" applyNumberFormat="1" applyAlignment="1">
      <alignment horizontal="center"/>
    </xf>
    <xf numFmtId="0" fontId="26" fillId="0" borderId="7" xfId="0" applyFont="1" applyBorder="1" applyAlignment="1">
      <alignment horizontal="center" wrapText="1"/>
    </xf>
    <xf numFmtId="0" fontId="26" fillId="0" borderId="11" xfId="0" applyFont="1" applyBorder="1" applyAlignment="1">
      <alignment horizontal="center"/>
    </xf>
    <xf numFmtId="0" fontId="28" fillId="0" borderId="3" xfId="0" applyFont="1" applyBorder="1" applyAlignment="1">
      <alignment horizontal="center"/>
    </xf>
    <xf numFmtId="0" fontId="28" fillId="0" borderId="5" xfId="0" applyFont="1" applyBorder="1" applyAlignment="1">
      <alignment horizontal="center"/>
    </xf>
    <xf numFmtId="0" fontId="38" fillId="5" borderId="3" xfId="543" applyFont="1" applyFill="1" applyBorder="1" applyAlignment="1">
      <alignment horizontal="center"/>
    </xf>
    <xf numFmtId="0" fontId="38" fillId="5" borderId="4" xfId="543" applyFont="1" applyFill="1" applyBorder="1" applyAlignment="1">
      <alignment horizontal="center"/>
    </xf>
    <xf numFmtId="0" fontId="38"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0" fontId="19" fillId="0" borderId="1" xfId="0" applyFont="1" applyBorder="1" applyAlignment="1">
      <alignment horizontal="center" vertical="top" wrapText="1"/>
    </xf>
    <xf numFmtId="10" fontId="0" fillId="5" borderId="4" xfId="0" applyNumberFormat="1" applyFill="1" applyBorder="1" applyAlignment="1" applyProtection="1">
      <alignment horizontal="center"/>
      <protection locked="0"/>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14" fontId="19"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26" fillId="0" borderId="11" xfId="0" applyFont="1" applyBorder="1" applyAlignment="1">
      <alignment horizontal="center" vertical="center"/>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0" xfId="0" applyFont="1" applyBorder="1" applyAlignment="1">
      <alignment horizontal="center" vertical="center" wrapText="1"/>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0" fontId="19" fillId="43" borderId="4" xfId="0" applyFon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19" fillId="5" borderId="11" xfId="569" applyFill="1" applyBorder="1" applyAlignment="1" applyProtection="1">
      <alignment vertical="center" wrapText="1"/>
      <protection locked="0"/>
    </xf>
    <xf numFmtId="0" fontId="19" fillId="5" borderId="11" xfId="569" applyFill="1" applyBorder="1" applyAlignment="1" applyProtection="1">
      <alignment horizontal="left" vertical="center" wrapText="1"/>
      <protection locked="0"/>
    </xf>
    <xf numFmtId="0" fontId="19" fillId="5" borderId="6" xfId="569" applyFill="1" applyBorder="1" applyAlignment="1" applyProtection="1">
      <alignment horizontal="left"/>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14" fontId="0" fillId="5" borderId="4" xfId="0" applyNumberFormat="1" applyFill="1" applyBorder="1" applyAlignment="1" applyProtection="1">
      <alignment horizontal="center"/>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8" fillId="0" borderId="11" xfId="0" applyFont="1" applyBorder="1" applyAlignment="1">
      <alignment horizontal="center" vertical="top" wrapText="1"/>
    </xf>
    <xf numFmtId="1" fontId="28" fillId="5" borderId="11" xfId="0" applyNumberFormat="1" applyFont="1" applyFill="1" applyBorder="1" applyAlignment="1" applyProtection="1">
      <alignment horizontal="center"/>
      <protection locked="0"/>
    </xf>
    <xf numFmtId="0" fontId="28"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6" fillId="5" borderId="11" xfId="0" applyFont="1" applyFill="1" applyBorder="1" applyAlignment="1" applyProtection="1">
      <alignment horizontal="center"/>
      <protection locked="0"/>
    </xf>
    <xf numFmtId="0" fontId="28" fillId="0" borderId="4" xfId="0" applyFont="1" applyBorder="1" applyAlignment="1">
      <alignment horizontal="center"/>
    </xf>
    <xf numFmtId="168" fontId="157"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9" fontId="19" fillId="0" borderId="0" xfId="543" applyNumberFormat="1" applyAlignment="1">
      <alignment horizontal="center" vertical="center"/>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171" fontId="19" fillId="0" borderId="0" xfId="543" applyNumberFormat="1" applyAlignment="1">
      <alignment horizontal="right"/>
    </xf>
    <xf numFmtId="0" fontId="26"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1" fontId="19" fillId="5" borderId="3" xfId="0" applyNumberFormat="1" applyFont="1" applyFill="1" applyBorder="1" applyAlignment="1" applyProtection="1">
      <alignment horizontal="center"/>
      <protection locked="0"/>
    </xf>
    <xf numFmtId="0" fontId="19" fillId="43" borderId="11" xfId="0" applyFont="1" applyFill="1" applyBorder="1" applyAlignment="1" applyProtection="1">
      <alignment horizontal="center"/>
      <protection locked="0"/>
    </xf>
    <xf numFmtId="10" fontId="28" fillId="5" borderId="4" xfId="0" applyNumberFormat="1" applyFont="1" applyFill="1" applyBorder="1" applyAlignment="1" applyProtection="1">
      <alignment horizontal="right"/>
      <protection locked="0"/>
    </xf>
    <xf numFmtId="0" fontId="0" fillId="0" borderId="5" xfId="0" applyBorder="1" applyAlignment="1">
      <alignment horizontal="left"/>
    </xf>
    <xf numFmtId="10" fontId="28" fillId="0" borderId="11" xfId="0" applyNumberFormat="1" applyFont="1" applyBorder="1" applyAlignment="1">
      <alignment horizontal="center"/>
    </xf>
    <xf numFmtId="3" fontId="28" fillId="5" borderId="11"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8" fillId="5" borderId="11" xfId="0" applyFont="1" applyFill="1" applyBorder="1" applyAlignment="1" applyProtection="1">
      <alignment horizontal="center"/>
      <protection locked="0"/>
    </xf>
    <xf numFmtId="168" fontId="28" fillId="0" borderId="3" xfId="0" applyNumberFormat="1" applyFont="1" applyBorder="1" applyAlignment="1">
      <alignment horizontal="left" vertical="top"/>
    </xf>
    <xf numFmtId="168" fontId="28" fillId="0" borderId="4" xfId="0" applyNumberFormat="1" applyFont="1" applyBorder="1" applyAlignment="1">
      <alignment horizontal="left" vertical="top"/>
    </xf>
    <xf numFmtId="168" fontId="28" fillId="0" borderId="5" xfId="0" applyNumberFormat="1" applyFont="1" applyBorder="1" applyAlignment="1">
      <alignment horizontal="left" vertical="top"/>
    </xf>
    <xf numFmtId="14" fontId="1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26" fillId="0" borderId="4" xfId="0" applyFont="1" applyBorder="1" applyAlignment="1">
      <alignment horizontal="center"/>
    </xf>
    <xf numFmtId="0" fontId="26" fillId="0" borderId="5" xfId="0" applyFont="1" applyBorder="1" applyAlignment="1">
      <alignment horizontal="center"/>
    </xf>
    <xf numFmtId="178" fontId="2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28" fillId="5" borderId="0" xfId="0" applyFont="1" applyFill="1" applyAlignment="1" applyProtection="1">
      <alignment horizontal="left" vertical="top" wrapText="1"/>
      <protection locked="0"/>
    </xf>
    <xf numFmtId="0" fontId="28" fillId="5" borderId="6" xfId="0" applyFont="1" applyFill="1" applyBorder="1" applyAlignment="1" applyProtection="1">
      <alignment horizontal="left" vertical="top" wrapText="1"/>
      <protection locked="0"/>
    </xf>
    <xf numFmtId="1" fontId="19" fillId="5" borderId="6" xfId="0"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8" fillId="5" borderId="6" xfId="0" applyNumberFormat="1" applyFont="1" applyFill="1" applyBorder="1" applyAlignment="1" applyProtection="1">
      <alignment horizontal="right"/>
      <protection locked="0"/>
    </xf>
    <xf numFmtId="0" fontId="19"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8" fillId="5" borderId="11" xfId="0" quotePrefix="1" applyNumberFormat="1" applyFon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6"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8" fillId="5" borderId="6" xfId="271" applyNumberFormat="1" applyFill="1" applyBorder="1" applyAlignment="1" applyProtection="1">
      <alignment horizontal="left"/>
      <protection locked="0"/>
    </xf>
    <xf numFmtId="0" fontId="19" fillId="5" borderId="6" xfId="244" applyFont="1" applyFill="1" applyBorder="1" applyAlignment="1" applyProtection="1">
      <alignment horizontal="left"/>
      <protection locked="0"/>
    </xf>
    <xf numFmtId="0" fontId="19" fillId="5" borderId="0" xfId="244"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28" fillId="0" borderId="6" xfId="0" applyFont="1" applyBorder="1" applyAlignment="1">
      <alignment horizontal="left"/>
    </xf>
    <xf numFmtId="166" fontId="19" fillId="5" borderId="6"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19"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19" fillId="0" borderId="0" xfId="0" applyFont="1" applyAlignment="1" applyProtection="1">
      <alignment horizontal="left"/>
      <protection locked="0"/>
    </xf>
    <xf numFmtId="0" fontId="0" fillId="5" borderId="6" xfId="0" applyFill="1" applyBorder="1" applyProtection="1">
      <protection locked="0"/>
    </xf>
    <xf numFmtId="0" fontId="27" fillId="43" borderId="6" xfId="0" applyFont="1" applyFill="1" applyBorder="1" applyAlignment="1" applyProtection="1">
      <alignment horizontal="left"/>
      <protection locked="0"/>
    </xf>
    <xf numFmtId="0" fontId="15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168" fontId="19" fillId="0" borderId="6" xfId="0" applyNumberFormat="1" applyFont="1" applyBorder="1" applyAlignment="1">
      <alignment horizontal="center"/>
    </xf>
    <xf numFmtId="168" fontId="0" fillId="0" borderId="6" xfId="0" applyNumberFormat="1" applyBorder="1" applyAlignment="1">
      <alignment horizontal="center"/>
    </xf>
    <xf numFmtId="1" fontId="19" fillId="5" borderId="4" xfId="0" applyNumberFormat="1" applyFon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28"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0" fontId="28" fillId="43" borderId="6" xfId="0" applyFont="1" applyFill="1" applyBorder="1" applyAlignment="1" applyProtection="1">
      <alignment horizontal="left"/>
      <protection locked="0"/>
    </xf>
    <xf numFmtId="0" fontId="19" fillId="0" borderId="6" xfId="0" applyFont="1" applyBorder="1" applyAlignment="1">
      <alignment horizontal="left"/>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1" fontId="28"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28" fillId="5" borderId="4" xfId="0" applyNumberFormat="1" applyFont="1" applyFill="1" applyBorder="1" applyAlignment="1" applyProtection="1">
      <alignment horizontal="right"/>
      <protection locked="0"/>
    </xf>
    <xf numFmtId="168" fontId="28"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6" fillId="0" borderId="3" xfId="0" applyFont="1" applyBorder="1" applyAlignment="1">
      <alignment horizontal="center"/>
    </xf>
    <xf numFmtId="3" fontId="28" fillId="0" borderId="11" xfId="0" applyNumberFormat="1" applyFont="1" applyBorder="1" applyAlignment="1">
      <alignment horizontal="center"/>
    </xf>
    <xf numFmtId="0" fontId="38"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0" borderId="12" xfId="0" applyBorder="1" applyAlignment="1">
      <alignment horizontal="center"/>
    </xf>
    <xf numFmtId="168" fontId="55" fillId="0" borderId="2" xfId="0" applyNumberFormat="1" applyFont="1" applyBorder="1" applyAlignment="1">
      <alignment horizontal="left" vertical="top" wrapText="1"/>
    </xf>
    <xf numFmtId="168" fontId="55" fillId="0" borderId="0" xfId="0" applyNumberFormat="1" applyFont="1" applyAlignment="1">
      <alignment horizontal="left" vertical="top" wrapText="1"/>
    </xf>
    <xf numFmtId="168" fontId="28" fillId="5" borderId="3" xfId="0" applyNumberFormat="1" applyFont="1" applyFill="1" applyBorder="1" applyAlignment="1" applyProtection="1">
      <alignment horizontal="left" vertical="top"/>
      <protection locked="0"/>
    </xf>
    <xf numFmtId="168" fontId="28" fillId="5" borderId="4" xfId="0" applyNumberFormat="1" applyFont="1" applyFill="1" applyBorder="1" applyAlignment="1" applyProtection="1">
      <alignment horizontal="left" vertical="top"/>
      <protection locked="0"/>
    </xf>
    <xf numFmtId="168" fontId="28" fillId="5" borderId="5" xfId="0" applyNumberFormat="1" applyFont="1" applyFill="1" applyBorder="1" applyAlignment="1" applyProtection="1">
      <alignment horizontal="left" vertical="top"/>
      <protection locked="0"/>
    </xf>
    <xf numFmtId="168" fontId="19" fillId="0" borderId="3" xfId="0" applyNumberFormat="1" applyFont="1" applyBorder="1" applyAlignment="1">
      <alignment horizontal="left" vertical="top"/>
    </xf>
    <xf numFmtId="0" fontId="0" fillId="43" borderId="10" xfId="0" applyFill="1" applyBorder="1" applyAlignment="1" applyProtection="1">
      <alignment horizontal="left"/>
      <protection locked="0"/>
    </xf>
    <xf numFmtId="0" fontId="1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43" borderId="3" xfId="0" applyNumberFormat="1" applyFont="1" applyFill="1" applyBorder="1" applyAlignment="1" applyProtection="1">
      <alignment horizontal="center"/>
      <protection locked="0"/>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0" fontId="26" fillId="0" borderId="10" xfId="0" applyFont="1" applyBorder="1" applyAlignment="1">
      <alignment horizontal="center"/>
    </xf>
    <xf numFmtId="165" fontId="28" fillId="5" borderId="3" xfId="0" applyNumberFormat="1" applyFont="1" applyFill="1" applyBorder="1" applyAlignment="1" applyProtection="1">
      <alignment horizontal="center"/>
      <protection locked="0"/>
    </xf>
    <xf numFmtId="165" fontId="28" fillId="5" borderId="4" xfId="0" applyNumberFormat="1" applyFont="1" applyFill="1" applyBorder="1" applyAlignment="1" applyProtection="1">
      <alignment horizontal="center"/>
      <protection locked="0"/>
    </xf>
    <xf numFmtId="165" fontId="2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lignment horizontal="center"/>
    </xf>
    <xf numFmtId="0" fontId="0" fillId="0" borderId="10" xfId="0" applyBorder="1" applyAlignment="1">
      <alignment horizontal="center"/>
    </xf>
    <xf numFmtId="175" fontId="185" fillId="0" borderId="107" xfId="543" applyNumberFormat="1" applyFont="1" applyBorder="1" applyAlignment="1">
      <alignment horizontal="center" vertical="center" wrapText="1"/>
    </xf>
    <xf numFmtId="175" fontId="185" fillId="0" borderId="108" xfId="543" applyNumberFormat="1" applyFont="1" applyBorder="1" applyAlignment="1">
      <alignment horizontal="center" vertical="center" wrapText="1"/>
    </xf>
    <xf numFmtId="175" fontId="185" fillId="0" borderId="109" xfId="543" applyNumberFormat="1" applyFont="1" applyBorder="1" applyAlignment="1">
      <alignment horizontal="center" vertical="center" wrapText="1"/>
    </xf>
    <xf numFmtId="0" fontId="18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60" fillId="2" borderId="3" xfId="0" applyFont="1" applyFill="1" applyBorder="1" applyAlignment="1">
      <alignment horizontal="center" vertical="top"/>
    </xf>
    <xf numFmtId="0" fontId="60" fillId="2" borderId="4" xfId="0" applyFont="1" applyFill="1" applyBorder="1" applyAlignment="1">
      <alignment horizontal="center" vertical="top"/>
    </xf>
    <xf numFmtId="0" fontId="60" fillId="2" borderId="5" xfId="0" applyFont="1" applyFill="1" applyBorder="1" applyAlignment="1">
      <alignment horizontal="center" vertical="top"/>
    </xf>
    <xf numFmtId="0" fontId="28" fillId="0" borderId="6" xfId="0" applyFont="1" applyBorder="1" applyAlignment="1">
      <alignment vertical="top" wrapText="1"/>
    </xf>
    <xf numFmtId="177" fontId="28" fillId="5" borderId="6" xfId="0" applyNumberFormat="1" applyFont="1" applyFill="1" applyBorder="1" applyAlignment="1" applyProtection="1">
      <alignment horizontal="left" vertical="top" wrapText="1"/>
      <protection locked="0"/>
    </xf>
    <xf numFmtId="0" fontId="28" fillId="0" borderId="2" xfId="0" applyFont="1" applyBorder="1" applyAlignment="1">
      <alignment vertical="top" wrapText="1"/>
    </xf>
    <xf numFmtId="0" fontId="55" fillId="0" borderId="0" xfId="0" applyFont="1" applyAlignment="1">
      <alignment vertical="top" wrapText="1"/>
    </xf>
    <xf numFmtId="0" fontId="28" fillId="0" borderId="2" xfId="0" applyFont="1" applyBorder="1" applyAlignment="1">
      <alignment horizontal="left" vertical="top" wrapText="1"/>
    </xf>
    <xf numFmtId="0" fontId="56" fillId="0" borderId="0" xfId="0" applyFont="1" applyAlignment="1">
      <alignment vertical="top" wrapText="1"/>
    </xf>
    <xf numFmtId="0" fontId="28" fillId="0" borderId="0" xfId="0" applyFont="1" applyAlignment="1">
      <alignment vertical="top" wrapText="1"/>
    </xf>
    <xf numFmtId="0" fontId="28" fillId="0" borderId="6" xfId="0" applyFont="1" applyBorder="1" applyAlignment="1">
      <alignment horizontal="right" vertical="top" wrapText="1"/>
    </xf>
    <xf numFmtId="0" fontId="56"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70" fillId="44" borderId="80" xfId="8736" applyFont="1" applyFill="1" applyBorder="1" applyAlignment="1">
      <alignment horizontal="left"/>
    </xf>
    <xf numFmtId="0" fontId="170" fillId="44" borderId="79" xfId="8736" applyFont="1" applyFill="1" applyBorder="1" applyAlignment="1">
      <alignment horizontal="left"/>
    </xf>
    <xf numFmtId="0" fontId="170" fillId="44" borderId="78" xfId="8736" applyFont="1" applyFill="1" applyBorder="1" applyAlignment="1">
      <alignment horizontal="left"/>
    </xf>
    <xf numFmtId="0" fontId="171" fillId="45" borderId="11" xfId="8736" applyFont="1" applyFill="1" applyBorder="1" applyAlignment="1">
      <alignment horizontal="right"/>
    </xf>
    <xf numFmtId="1" fontId="170" fillId="48" borderId="11" xfId="8736" applyNumberFormat="1" applyFont="1" applyFill="1" applyBorder="1" applyAlignment="1" applyProtection="1">
      <alignment horizontal="center"/>
      <protection locked="0"/>
    </xf>
    <xf numFmtId="0" fontId="182" fillId="51" borderId="65" xfId="8736" applyFont="1" applyFill="1" applyBorder="1" applyAlignment="1">
      <alignment horizontal="center"/>
    </xf>
    <xf numFmtId="0" fontId="182" fillId="51" borderId="29" xfId="8736" applyFont="1" applyFill="1" applyBorder="1" applyAlignment="1">
      <alignment horizontal="center"/>
    </xf>
    <xf numFmtId="0" fontId="182" fillId="51" borderId="31" xfId="8736" applyFont="1" applyFill="1" applyBorder="1" applyAlignment="1">
      <alignment horizontal="center"/>
    </xf>
    <xf numFmtId="0" fontId="167" fillId="48" borderId="66" xfId="8736" applyFont="1" applyFill="1" applyBorder="1" applyAlignment="1">
      <alignment horizontal="center"/>
    </xf>
    <xf numFmtId="0" fontId="167" fillId="48" borderId="0" xfId="8736" applyFont="1" applyFill="1" applyAlignment="1">
      <alignment horizontal="center"/>
    </xf>
    <xf numFmtId="0" fontId="167" fillId="48" borderId="41" xfId="8736" applyFont="1" applyFill="1" applyBorder="1" applyAlignment="1">
      <alignment horizontal="center"/>
    </xf>
    <xf numFmtId="0" fontId="167" fillId="45" borderId="3" xfId="8736" applyFont="1" applyFill="1" applyBorder="1" applyAlignment="1">
      <alignment horizontal="center"/>
    </xf>
    <xf numFmtId="0" fontId="167" fillId="45" borderId="4" xfId="8736" applyFont="1" applyFill="1" applyBorder="1" applyAlignment="1">
      <alignment horizontal="center"/>
    </xf>
    <xf numFmtId="0" fontId="167" fillId="45" borderId="5" xfId="8736" applyFont="1" applyFill="1" applyBorder="1" applyAlignment="1">
      <alignment horizontal="center"/>
    </xf>
    <xf numFmtId="0" fontId="177" fillId="45" borderId="11" xfId="8736" applyFont="1" applyFill="1" applyBorder="1" applyAlignment="1">
      <alignment horizontal="right"/>
    </xf>
    <xf numFmtId="14" fontId="170" fillId="48" borderId="11" xfId="8736" applyNumberFormat="1" applyFont="1" applyFill="1" applyBorder="1" applyAlignment="1" applyProtection="1">
      <alignment horizontal="center"/>
      <protection locked="0"/>
    </xf>
    <xf numFmtId="0" fontId="17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104" fillId="45" borderId="80" xfId="8736" applyFont="1" applyFill="1" applyBorder="1" applyAlignment="1">
      <alignment horizontal="center"/>
    </xf>
    <xf numFmtId="0" fontId="104" fillId="45" borderId="79" xfId="8736" applyFont="1" applyFill="1" applyBorder="1" applyAlignment="1">
      <alignment horizontal="center"/>
    </xf>
    <xf numFmtId="0" fontId="104" fillId="45" borderId="78" xfId="8736" applyFont="1" applyFill="1" applyBorder="1" applyAlignment="1">
      <alignment horizontal="center"/>
    </xf>
    <xf numFmtId="0" fontId="170" fillId="48" borderId="80" xfId="8736" applyFont="1" applyFill="1" applyBorder="1" applyAlignment="1" applyProtection="1">
      <alignment horizontal="center"/>
      <protection locked="0"/>
    </xf>
    <xf numFmtId="0" fontId="170" fillId="48" borderId="79" xfId="8736" applyFont="1" applyFill="1" applyBorder="1" applyAlignment="1" applyProtection="1">
      <alignment horizontal="center"/>
      <protection locked="0"/>
    </xf>
    <xf numFmtId="0" fontId="170" fillId="48" borderId="78" xfId="8736" applyFont="1" applyFill="1" applyBorder="1" applyAlignment="1" applyProtection="1">
      <alignment horizontal="center"/>
      <protection locked="0"/>
    </xf>
    <xf numFmtId="0" fontId="17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71" fillId="45" borderId="11" xfId="8736" applyFont="1" applyFill="1" applyBorder="1" applyAlignment="1">
      <alignment horizontal="right" wrapText="1"/>
    </xf>
    <xf numFmtId="14" fontId="170" fillId="48" borderId="11" xfId="8736" applyNumberFormat="1" applyFont="1" applyFill="1" applyBorder="1" applyAlignment="1" applyProtection="1">
      <alignment horizontal="center" vertical="center"/>
      <protection locked="0"/>
    </xf>
    <xf numFmtId="0" fontId="170" fillId="48" borderId="11" xfId="8736" applyFont="1" applyFill="1" applyBorder="1" applyAlignment="1" applyProtection="1">
      <alignment horizontal="center" vertical="center"/>
      <protection locked="0"/>
    </xf>
    <xf numFmtId="168" fontId="175" fillId="44" borderId="11" xfId="8737" applyNumberFormat="1" applyFont="1" applyFill="1" applyBorder="1" applyAlignment="1" applyProtection="1">
      <alignment horizontal="left"/>
    </xf>
    <xf numFmtId="0" fontId="104" fillId="45" borderId="80" xfId="8736" applyFont="1" applyFill="1" applyBorder="1" applyAlignment="1">
      <alignment horizontal="right"/>
    </xf>
    <xf numFmtId="0" fontId="104" fillId="45" borderId="79" xfId="8736" applyFont="1" applyFill="1" applyBorder="1" applyAlignment="1">
      <alignment horizontal="right"/>
    </xf>
    <xf numFmtId="0" fontId="10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67" fillId="45" borderId="93" xfId="8736" applyFont="1" applyFill="1" applyBorder="1" applyAlignment="1">
      <alignment horizontal="center"/>
    </xf>
    <xf numFmtId="0" fontId="167" fillId="45" borderId="92" xfId="8736" applyFont="1" applyFill="1" applyBorder="1" applyAlignment="1">
      <alignment horizontal="center"/>
    </xf>
    <xf numFmtId="0" fontId="167" fillId="45" borderId="91" xfId="8736" applyFont="1" applyFill="1" applyBorder="1" applyAlignment="1">
      <alignment horizontal="center"/>
    </xf>
    <xf numFmtId="0" fontId="174" fillId="45" borderId="97" xfId="8736" applyFont="1" applyFill="1" applyBorder="1" applyAlignment="1">
      <alignment horizontal="center"/>
    </xf>
    <xf numFmtId="0" fontId="174" fillId="45" borderId="2" xfId="8736" applyFont="1" applyFill="1" applyBorder="1" applyAlignment="1">
      <alignment horizontal="center"/>
    </xf>
    <xf numFmtId="0" fontId="174" fillId="45" borderId="7" xfId="8736" applyFont="1" applyFill="1" applyBorder="1" applyAlignment="1">
      <alignment horizontal="center"/>
    </xf>
    <xf numFmtId="0" fontId="174" fillId="45" borderId="3" xfId="8736" applyFont="1" applyFill="1" applyBorder="1" applyAlignment="1">
      <alignment horizontal="center"/>
    </xf>
    <xf numFmtId="0" fontId="174" fillId="45" borderId="4" xfId="8736" applyFont="1" applyFill="1" applyBorder="1" applyAlignment="1">
      <alignment horizontal="center"/>
    </xf>
    <xf numFmtId="0" fontId="174" fillId="45" borderId="5" xfId="8736" applyFont="1" applyFill="1" applyBorder="1" applyAlignment="1">
      <alignment horizontal="center"/>
    </xf>
    <xf numFmtId="0" fontId="174" fillId="45" borderId="81" xfId="8736" applyFont="1" applyFill="1" applyBorder="1" applyAlignment="1">
      <alignment horizontal="center"/>
    </xf>
    <xf numFmtId="9" fontId="173" fillId="48" borderId="90" xfId="8736" applyNumberFormat="1" applyFont="1" applyFill="1" applyBorder="1" applyAlignment="1" applyProtection="1">
      <alignment horizontal="center"/>
      <protection locked="0"/>
    </xf>
    <xf numFmtId="9" fontId="173" fillId="48" borderId="4" xfId="8736" applyNumberFormat="1" applyFont="1" applyFill="1" applyBorder="1" applyAlignment="1" applyProtection="1">
      <alignment horizontal="center"/>
      <protection locked="0"/>
    </xf>
    <xf numFmtId="9" fontId="173" fillId="48" borderId="5" xfId="8736" applyNumberFormat="1" applyFont="1" applyFill="1" applyBorder="1" applyAlignment="1" applyProtection="1">
      <alignment horizontal="center"/>
      <protection locked="0"/>
    </xf>
    <xf numFmtId="0" fontId="173" fillId="44" borderId="3" xfId="8736" applyFont="1" applyFill="1" applyBorder="1" applyAlignment="1">
      <alignment horizontal="center"/>
    </xf>
    <xf numFmtId="0" fontId="173" fillId="44" borderId="4" xfId="8736" applyFont="1" applyFill="1" applyBorder="1" applyAlignment="1">
      <alignment horizontal="center"/>
    </xf>
    <xf numFmtId="0" fontId="173" fillId="44" borderId="5" xfId="8736" applyFont="1" applyFill="1" applyBorder="1" applyAlignment="1">
      <alignment horizontal="center"/>
    </xf>
    <xf numFmtId="10" fontId="174" fillId="44" borderId="3" xfId="8736" applyNumberFormat="1" applyFont="1" applyFill="1" applyBorder="1" applyAlignment="1">
      <alignment horizontal="center"/>
    </xf>
    <xf numFmtId="10" fontId="174" fillId="44" borderId="4" xfId="8736" applyNumberFormat="1" applyFont="1" applyFill="1" applyBorder="1" applyAlignment="1">
      <alignment horizontal="center"/>
    </xf>
    <xf numFmtId="10" fontId="174" fillId="44" borderId="81" xfId="8736" applyNumberFormat="1" applyFont="1" applyFill="1" applyBorder="1" applyAlignment="1">
      <alignment horizontal="center"/>
    </xf>
    <xf numFmtId="0" fontId="173" fillId="48" borderId="3" xfId="8736" applyFont="1" applyFill="1" applyBorder="1" applyAlignment="1" applyProtection="1">
      <alignment horizontal="center"/>
      <protection locked="0"/>
    </xf>
    <xf numFmtId="0" fontId="173" fillId="48" borderId="4" xfId="8736" applyFont="1" applyFill="1" applyBorder="1" applyAlignment="1" applyProtection="1">
      <alignment horizontal="center"/>
      <protection locked="0"/>
    </xf>
    <xf numFmtId="0" fontId="173" fillId="48" borderId="5" xfId="8736" applyFont="1" applyFill="1" applyBorder="1" applyAlignment="1" applyProtection="1">
      <alignment horizontal="center"/>
      <protection locked="0"/>
    </xf>
    <xf numFmtId="0" fontId="174" fillId="44" borderId="87" xfId="8736" applyFont="1" applyFill="1" applyBorder="1" applyAlignment="1">
      <alignment horizontal="center"/>
    </xf>
    <xf numFmtId="0" fontId="174" fillId="44" borderId="86" xfId="8736" applyFont="1" applyFill="1" applyBorder="1" applyAlignment="1">
      <alignment horizontal="center"/>
    </xf>
    <xf numFmtId="0" fontId="174" fillId="44" borderId="95" xfId="8736" applyFont="1" applyFill="1" applyBorder="1" applyAlignment="1">
      <alignment horizontal="center"/>
    </xf>
    <xf numFmtId="0" fontId="173" fillId="44" borderId="94"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10" fontId="174" fillId="44" borderId="94" xfId="8736" applyNumberFormat="1" applyFont="1" applyFill="1" applyBorder="1" applyAlignment="1">
      <alignment horizontal="center"/>
    </xf>
    <xf numFmtId="10" fontId="174" fillId="44" borderId="86" xfId="8736" applyNumberFormat="1" applyFont="1" applyFill="1" applyBorder="1" applyAlignment="1">
      <alignment horizontal="center"/>
    </xf>
    <xf numFmtId="10" fontId="174" fillId="44" borderId="85" xfId="8736" applyNumberFormat="1" applyFont="1" applyFill="1" applyBorder="1" applyAlignment="1">
      <alignment horizontal="center"/>
    </xf>
    <xf numFmtId="0" fontId="174" fillId="44" borderId="101" xfId="8736" applyFont="1" applyFill="1" applyBorder="1" applyAlignment="1">
      <alignment horizontal="center"/>
    </xf>
    <xf numFmtId="0" fontId="174" fillId="44" borderId="42" xfId="8736" applyFont="1" applyFill="1" applyBorder="1" applyAlignment="1">
      <alignment horizontal="center"/>
    </xf>
    <xf numFmtId="0" fontId="174" fillId="44" borderId="96" xfId="8736" applyFont="1" applyFill="1" applyBorder="1" applyAlignment="1">
      <alignment horizontal="center"/>
    </xf>
    <xf numFmtId="9" fontId="174" fillId="44" borderId="101" xfId="1022" applyFont="1" applyFill="1" applyBorder="1" applyAlignment="1">
      <alignment horizontal="center"/>
    </xf>
    <xf numFmtId="9" fontId="174" fillId="44" borderId="42" xfId="1022" applyFont="1" applyFill="1" applyBorder="1" applyAlignment="1">
      <alignment horizontal="center"/>
    </xf>
    <xf numFmtId="9" fontId="174" fillId="44" borderId="44" xfId="1022" applyFont="1" applyFill="1" applyBorder="1" applyAlignment="1">
      <alignment horizontal="center"/>
    </xf>
    <xf numFmtId="0" fontId="167" fillId="45" borderId="80" xfId="8736" applyFont="1" applyFill="1" applyBorder="1" applyAlignment="1">
      <alignment horizontal="center"/>
    </xf>
    <xf numFmtId="0" fontId="167" fillId="45" borderId="79" xfId="8736" applyFont="1" applyFill="1" applyBorder="1" applyAlignment="1">
      <alignment horizontal="center"/>
    </xf>
    <xf numFmtId="0" fontId="167" fillId="45" borderId="78" xfId="8736" applyFont="1" applyFill="1" applyBorder="1" applyAlignment="1">
      <alignment horizontal="center"/>
    </xf>
    <xf numFmtId="0" fontId="166" fillId="45" borderId="98" xfId="8736" applyFont="1" applyFill="1" applyBorder="1" applyAlignment="1">
      <alignment horizontal="center" vertical="center" wrapText="1"/>
    </xf>
    <xf numFmtId="0" fontId="166" fillId="45" borderId="13" xfId="8736" applyFont="1" applyFill="1" applyBorder="1" applyAlignment="1">
      <alignment horizontal="center" vertical="center"/>
    </xf>
    <xf numFmtId="0" fontId="166" fillId="45" borderId="72" xfId="8736" applyFont="1" applyFill="1" applyBorder="1" applyAlignment="1">
      <alignment horizontal="center" vertical="center"/>
    </xf>
    <xf numFmtId="0" fontId="166" fillId="45" borderId="11" xfId="8736" applyFont="1" applyFill="1" applyBorder="1" applyAlignment="1">
      <alignment horizontal="center" vertical="center"/>
    </xf>
    <xf numFmtId="0" fontId="174" fillId="45" borderId="13" xfId="8736" applyFont="1" applyFill="1" applyBorder="1" applyAlignment="1">
      <alignment horizontal="center" vertical="center" wrapText="1"/>
    </xf>
    <xf numFmtId="0" fontId="174" fillId="45" borderId="13" xfId="8736" applyFont="1" applyFill="1" applyBorder="1" applyAlignment="1">
      <alignment horizontal="center" vertical="center"/>
    </xf>
    <xf numFmtId="0" fontId="174" fillId="45" borderId="11" xfId="8736" applyFont="1" applyFill="1" applyBorder="1" applyAlignment="1">
      <alignment horizontal="center" vertical="center"/>
    </xf>
    <xf numFmtId="0" fontId="174" fillId="45" borderId="9" xfId="8736" applyFont="1" applyFill="1" applyBorder="1" applyAlignment="1">
      <alignment horizontal="center" vertical="center"/>
    </xf>
    <xf numFmtId="0" fontId="174" fillId="45" borderId="3" xfId="8736" applyFont="1" applyFill="1" applyBorder="1" applyAlignment="1">
      <alignment horizontal="center" vertic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6" fillId="45" borderId="65" xfId="8736" applyFont="1" applyFill="1" applyBorder="1" applyAlignment="1">
      <alignment horizontal="center" vertical="center" wrapText="1"/>
    </xf>
    <xf numFmtId="0" fontId="166" fillId="45" borderId="29" xfId="8736" applyFont="1" applyFill="1" applyBorder="1" applyAlignment="1">
      <alignment horizontal="center" vertical="center" wrapText="1"/>
    </xf>
    <xf numFmtId="0" fontId="166" fillId="45" borderId="31" xfId="8736" applyFont="1" applyFill="1" applyBorder="1" applyAlignment="1">
      <alignment horizontal="center" vertical="center" wrapText="1"/>
    </xf>
    <xf numFmtId="0" fontId="166" fillId="45" borderId="73" xfId="8736" applyFont="1" applyFill="1" applyBorder="1" applyAlignment="1">
      <alignment horizontal="center" vertical="center" wrapText="1"/>
    </xf>
    <xf numFmtId="0" fontId="166" fillId="45" borderId="42" xfId="8736" applyFont="1" applyFill="1" applyBorder="1" applyAlignment="1">
      <alignment horizontal="center" vertical="center" wrapText="1"/>
    </xf>
    <xf numFmtId="0" fontId="166" fillId="45" borderId="44" xfId="8736" applyFont="1" applyFill="1" applyBorder="1" applyAlignment="1">
      <alignment horizontal="center" vertical="center" wrapText="1"/>
    </xf>
    <xf numFmtId="9" fontId="174" fillId="48" borderId="13" xfId="8736" applyNumberFormat="1" applyFont="1" applyFill="1" applyBorder="1" applyAlignment="1" applyProtection="1">
      <alignment horizontal="center"/>
      <protection locked="0"/>
    </xf>
    <xf numFmtId="0" fontId="174" fillId="44" borderId="73" xfId="8736" applyFont="1" applyFill="1" applyBorder="1" applyAlignment="1">
      <alignment horizontal="center"/>
    </xf>
    <xf numFmtId="0" fontId="166" fillId="44" borderId="9" xfId="8736" applyFont="1" applyFill="1" applyBorder="1" applyAlignment="1">
      <alignment horizontal="center"/>
    </xf>
    <xf numFmtId="0" fontId="166" fillId="44" borderId="6" xfId="8736" applyFont="1" applyFill="1" applyBorder="1" applyAlignment="1">
      <alignment horizontal="center"/>
    </xf>
    <xf numFmtId="0" fontId="166" fillId="44" borderId="82" xfId="8736" applyFont="1" applyFill="1" applyBorder="1" applyAlignment="1">
      <alignment horizontal="center"/>
    </xf>
    <xf numFmtId="9" fontId="174" fillId="48" borderId="9" xfId="8736" applyNumberFormat="1" applyFont="1" applyFill="1" applyBorder="1" applyAlignment="1" applyProtection="1">
      <alignment horizontal="center"/>
      <protection locked="0"/>
    </xf>
    <xf numFmtId="9" fontId="174" fillId="48" borderId="6" xfId="8736" applyNumberFormat="1" applyFont="1" applyFill="1" applyBorder="1" applyAlignment="1" applyProtection="1">
      <alignment horizontal="center"/>
      <protection locked="0"/>
    </xf>
    <xf numFmtId="9" fontId="174" fillId="48" borderId="10" xfId="8736" applyNumberFormat="1" applyFont="1" applyFill="1" applyBorder="1" applyAlignment="1" applyProtection="1">
      <alignment horizontal="center"/>
      <protection locked="0"/>
    </xf>
    <xf numFmtId="9" fontId="166" fillId="48" borderId="9" xfId="8736" applyNumberFormat="1" applyFont="1" applyFill="1" applyBorder="1" applyAlignment="1" applyProtection="1">
      <alignment horizontal="center"/>
      <protection locked="0"/>
    </xf>
    <xf numFmtId="9" fontId="166" fillId="48" borderId="6" xfId="8736" applyNumberFormat="1" applyFont="1" applyFill="1" applyBorder="1" applyAlignment="1" applyProtection="1">
      <alignment horizontal="center"/>
      <protection locked="0"/>
    </xf>
    <xf numFmtId="9" fontId="166" fillId="48" borderId="10" xfId="8736" applyNumberFormat="1" applyFont="1" applyFill="1" applyBorder="1" applyAlignment="1" applyProtection="1">
      <alignment horizontal="center"/>
      <protection locked="0"/>
    </xf>
    <xf numFmtId="0" fontId="166" fillId="44" borderId="10" xfId="8736" applyFont="1" applyFill="1" applyBorder="1" applyAlignment="1">
      <alignment horizontal="center"/>
    </xf>
    <xf numFmtId="1" fontId="178" fillId="48" borderId="3" xfId="8736" applyNumberFormat="1" applyFont="1" applyFill="1" applyBorder="1" applyAlignment="1" applyProtection="1">
      <alignment horizontal="center"/>
      <protection locked="0"/>
    </xf>
    <xf numFmtId="1" fontId="178" fillId="48" borderId="4" xfId="8736" applyNumberFormat="1" applyFont="1" applyFill="1" applyBorder="1" applyAlignment="1" applyProtection="1">
      <alignment horizontal="center"/>
      <protection locked="0"/>
    </xf>
    <xf numFmtId="1" fontId="178" fillId="48" borderId="5" xfId="8736" applyNumberFormat="1" applyFont="1" applyFill="1" applyBorder="1" applyAlignment="1" applyProtection="1">
      <alignment horizontal="center"/>
      <protection locked="0"/>
    </xf>
    <xf numFmtId="1" fontId="166" fillId="44" borderId="3" xfId="8736" applyNumberFormat="1" applyFont="1" applyFill="1" applyBorder="1" applyAlignment="1">
      <alignment horizontal="center"/>
    </xf>
    <xf numFmtId="1" fontId="166" fillId="44" borderId="4" xfId="8736" applyNumberFormat="1" applyFont="1" applyFill="1" applyBorder="1" applyAlignment="1">
      <alignment horizontal="center"/>
    </xf>
    <xf numFmtId="1" fontId="166" fillId="44" borderId="5" xfId="8736" applyNumberFormat="1" applyFont="1" applyFill="1" applyBorder="1" applyAlignment="1">
      <alignment horizontal="center"/>
    </xf>
    <xf numFmtId="9" fontId="166" fillId="44" borderId="3" xfId="8738" applyFont="1" applyFill="1" applyBorder="1" applyAlignment="1">
      <alignment horizontal="center"/>
    </xf>
    <xf numFmtId="9" fontId="166" fillId="44" borderId="4" xfId="8738" applyFont="1" applyFill="1" applyBorder="1" applyAlignment="1">
      <alignment horizontal="center"/>
    </xf>
    <xf numFmtId="9" fontId="166" fillId="44" borderId="81" xfId="8738" applyFont="1" applyFill="1" applyBorder="1" applyAlignment="1">
      <alignment horizontal="center"/>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8" fillId="48" borderId="11" xfId="8736" applyFont="1" applyFill="1" applyBorder="1" applyAlignment="1" applyProtection="1">
      <alignment horizontal="center"/>
      <protection locked="0"/>
    </xf>
    <xf numFmtId="1" fontId="178" fillId="48" borderId="11" xfId="8736" applyNumberFormat="1" applyFont="1" applyFill="1" applyBorder="1" applyAlignment="1" applyProtection="1">
      <alignment horizontal="center"/>
      <protection locked="0"/>
    </xf>
    <xf numFmtId="0" fontId="173" fillId="48" borderId="72" xfId="8736" applyFont="1" applyFill="1" applyBorder="1" applyAlignment="1" applyProtection="1">
      <alignment horizontal="right"/>
      <protection locked="0"/>
    </xf>
    <xf numFmtId="0" fontId="173" fillId="48" borderId="11" xfId="8736" applyFont="1" applyFill="1" applyBorder="1" applyAlignment="1" applyProtection="1">
      <alignment horizontal="right"/>
      <protection locked="0"/>
    </xf>
    <xf numFmtId="0" fontId="173" fillId="48" borderId="69" xfId="8736" applyFont="1" applyFill="1" applyBorder="1" applyAlignment="1" applyProtection="1">
      <alignment horizontal="right"/>
      <protection locked="0"/>
    </xf>
    <xf numFmtId="0" fontId="173" fillId="48" borderId="70" xfId="8736" applyFont="1" applyFill="1" applyBorder="1" applyAlignment="1" applyProtection="1">
      <alignment horizontal="right"/>
      <protection locked="0"/>
    </xf>
    <xf numFmtId="0" fontId="178" fillId="48" borderId="70" xfId="8736" applyFont="1" applyFill="1" applyBorder="1" applyAlignment="1" applyProtection="1">
      <alignment horizontal="center"/>
      <protection locked="0"/>
    </xf>
    <xf numFmtId="1" fontId="178" fillId="48" borderId="70" xfId="8736" applyNumberFormat="1" applyFont="1" applyFill="1" applyBorder="1" applyAlignment="1" applyProtection="1">
      <alignment horizontal="center"/>
      <protection locked="0"/>
    </xf>
    <xf numFmtId="9" fontId="166" fillId="44" borderId="94" xfId="8738" applyFont="1" applyFill="1" applyBorder="1" applyAlignment="1">
      <alignment horizontal="center"/>
    </xf>
    <xf numFmtId="9" fontId="166" fillId="44" borderId="86" xfId="8738" applyFont="1" applyFill="1" applyBorder="1" applyAlignment="1">
      <alignment horizontal="center"/>
    </xf>
    <xf numFmtId="9" fontId="166" fillId="44" borderId="85" xfId="8738" applyFont="1" applyFill="1" applyBorder="1" applyAlignment="1">
      <alignment horizontal="center"/>
    </xf>
    <xf numFmtId="1" fontId="178" fillId="48" borderId="94" xfId="8736" applyNumberFormat="1" applyFont="1" applyFill="1" applyBorder="1" applyAlignment="1" applyProtection="1">
      <alignment horizontal="center"/>
      <protection locked="0"/>
    </xf>
    <xf numFmtId="1" fontId="178" fillId="48" borderId="86" xfId="8736" applyNumberFormat="1" applyFont="1" applyFill="1" applyBorder="1" applyAlignment="1" applyProtection="1">
      <alignment horizontal="center"/>
      <protection locked="0"/>
    </xf>
    <xf numFmtId="1" fontId="178" fillId="48" borderId="95" xfId="8736" applyNumberFormat="1" applyFont="1" applyFill="1" applyBorder="1" applyAlignment="1" applyProtection="1">
      <alignment horizontal="center"/>
      <protection locked="0"/>
    </xf>
    <xf numFmtId="0" fontId="167" fillId="45" borderId="67" xfId="8736" applyFont="1" applyFill="1" applyBorder="1" applyAlignment="1">
      <alignment horizontal="center"/>
    </xf>
    <xf numFmtId="0" fontId="167" fillId="45" borderId="68" xfId="8736" applyFont="1" applyFill="1" applyBorder="1" applyAlignment="1">
      <alignment horizontal="center"/>
    </xf>
    <xf numFmtId="0" fontId="167" fillId="45" borderId="71" xfId="8736" applyFont="1" applyFill="1" applyBorder="1" applyAlignment="1">
      <alignment horizontal="center"/>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66" fillId="45" borderId="11" xfId="8736" applyFont="1" applyFill="1" applyBorder="1" applyAlignment="1">
      <alignment horizontal="center" vertical="center" wrapText="1"/>
    </xf>
    <xf numFmtId="0" fontId="166" fillId="45" borderId="76" xfId="8736" applyFont="1" applyFill="1" applyBorder="1" applyAlignment="1">
      <alignment horizontal="center" vertical="center" wrapText="1"/>
    </xf>
    <xf numFmtId="0" fontId="173" fillId="48" borderId="11" xfId="8736" applyFont="1" applyFill="1" applyBorder="1" applyAlignment="1" applyProtection="1">
      <alignment horizontal="center"/>
      <protection locked="0"/>
    </xf>
    <xf numFmtId="168" fontId="173" fillId="48" borderId="11" xfId="8737" applyNumberFormat="1" applyFont="1" applyFill="1" applyBorder="1" applyAlignment="1" applyProtection="1">
      <alignment horizontal="center"/>
      <protection locked="0"/>
    </xf>
    <xf numFmtId="1" fontId="173" fillId="48" borderId="11" xfId="8736" applyNumberFormat="1" applyFont="1" applyFill="1" applyBorder="1" applyAlignment="1" applyProtection="1">
      <alignment horizontal="center"/>
      <protection locked="0"/>
    </xf>
    <xf numFmtId="0" fontId="173" fillId="48" borderId="11" xfId="700" applyNumberFormat="1" applyFont="1" applyFill="1" applyBorder="1" applyAlignment="1" applyProtection="1">
      <alignment horizontal="left"/>
      <protection locked="0"/>
    </xf>
    <xf numFmtId="0" fontId="173" fillId="48" borderId="76" xfId="700" applyNumberFormat="1" applyFont="1" applyFill="1" applyBorder="1" applyAlignment="1" applyProtection="1">
      <alignment horizontal="left"/>
      <protection locked="0"/>
    </xf>
    <xf numFmtId="0" fontId="167" fillId="45" borderId="65" xfId="8736" applyFont="1" applyFill="1" applyBorder="1" applyAlignment="1">
      <alignment horizontal="center"/>
    </xf>
    <xf numFmtId="0" fontId="167" fillId="45" borderId="29" xfId="8736" applyFont="1" applyFill="1" applyBorder="1" applyAlignment="1">
      <alignment horizontal="center"/>
    </xf>
    <xf numFmtId="0" fontId="167" fillId="45" borderId="31" xfId="8736" applyFont="1" applyFill="1" applyBorder="1" applyAlignment="1">
      <alignment horizontal="center"/>
    </xf>
    <xf numFmtId="0" fontId="173" fillId="44" borderId="72" xfId="8736" applyFont="1" applyFill="1" applyBorder="1" applyAlignment="1" applyProtection="1">
      <alignment horizontal="right"/>
      <protection locked="0"/>
    </xf>
    <xf numFmtId="0" fontId="173" fillId="44" borderId="11" xfId="8736" applyFont="1" applyFill="1" applyBorder="1" applyAlignment="1" applyProtection="1">
      <alignment horizontal="right"/>
      <protection locked="0"/>
    </xf>
    <xf numFmtId="0" fontId="173" fillId="44" borderId="76" xfId="8736" applyFont="1" applyFill="1" applyBorder="1" applyAlignment="1" applyProtection="1">
      <alignment horizontal="right"/>
      <protection locked="0"/>
    </xf>
    <xf numFmtId="0" fontId="173" fillId="48" borderId="5" xfId="8736" applyFont="1" applyFill="1" applyBorder="1" applyAlignment="1" applyProtection="1">
      <alignment horizontal="left"/>
      <protection locked="0"/>
    </xf>
    <xf numFmtId="0" fontId="173" fillId="48" borderId="11" xfId="8736" applyFont="1" applyFill="1" applyBorder="1" applyAlignment="1" applyProtection="1">
      <alignment horizontal="left"/>
      <protection locked="0"/>
    </xf>
    <xf numFmtId="0" fontId="173" fillId="48" borderId="76"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168" fontId="174" fillId="45" borderId="70" xfId="8737" applyNumberFormat="1" applyFont="1" applyFill="1" applyBorder="1" applyAlignment="1">
      <alignment horizontal="center"/>
    </xf>
    <xf numFmtId="1" fontId="174" fillId="45" borderId="70" xfId="8737" applyNumberFormat="1" applyFont="1" applyFill="1" applyBorder="1" applyAlignment="1">
      <alignment horizontal="center"/>
    </xf>
    <xf numFmtId="0" fontId="174" fillId="45" borderId="70" xfId="8737" applyNumberFormat="1" applyFont="1" applyFill="1" applyBorder="1" applyAlignment="1">
      <alignment horizontal="center"/>
    </xf>
    <xf numFmtId="0" fontId="174" fillId="45" borderId="77" xfId="8737" applyNumberFormat="1" applyFont="1" applyFill="1" applyBorder="1" applyAlignment="1">
      <alignment horizontal="center"/>
    </xf>
    <xf numFmtId="0" fontId="170" fillId="48" borderId="74" xfId="8736" applyFont="1" applyFill="1" applyBorder="1" applyAlignment="1" applyProtection="1">
      <alignment horizontal="left"/>
      <protection locked="0"/>
    </xf>
    <xf numFmtId="0" fontId="170" fillId="48" borderId="68" xfId="8736" applyFont="1" applyFill="1" applyBorder="1" applyAlignment="1" applyProtection="1">
      <alignment horizontal="left"/>
      <protection locked="0"/>
    </xf>
    <xf numFmtId="0" fontId="170" fillId="48" borderId="71" xfId="8736" applyFont="1" applyFill="1" applyBorder="1" applyAlignment="1" applyProtection="1">
      <alignment horizontal="left"/>
      <protection locked="0"/>
    </xf>
    <xf numFmtId="0" fontId="167" fillId="45" borderId="72" xfId="8736" applyFont="1" applyFill="1" applyBorder="1" applyAlignment="1">
      <alignment horizontal="center"/>
    </xf>
    <xf numFmtId="0" fontId="167" fillId="45" borderId="11" xfId="8736" applyFont="1" applyFill="1" applyBorder="1" applyAlignment="1">
      <alignment horizontal="center"/>
    </xf>
    <xf numFmtId="0" fontId="167" fillId="45" borderId="81" xfId="8736" applyFont="1" applyFill="1" applyBorder="1" applyAlignment="1">
      <alignment horizontal="center"/>
    </xf>
    <xf numFmtId="0" fontId="104" fillId="45" borderId="69" xfId="8736" applyFont="1" applyFill="1" applyBorder="1" applyAlignment="1">
      <alignment horizontal="center"/>
    </xf>
    <xf numFmtId="0" fontId="104" fillId="45" borderId="70" xfId="8736" applyFont="1" applyFill="1" applyBorder="1" applyAlignment="1">
      <alignment horizontal="center"/>
    </xf>
    <xf numFmtId="0" fontId="173" fillId="44" borderId="69" xfId="8736" applyFont="1" applyFill="1" applyBorder="1" applyAlignment="1" applyProtection="1">
      <alignment horizontal="right"/>
      <protection locked="0"/>
    </xf>
    <xf numFmtId="0" fontId="173" fillId="44" borderId="70" xfId="8736" applyFont="1" applyFill="1" applyBorder="1" applyAlignment="1" applyProtection="1">
      <alignment horizontal="right"/>
      <protection locked="0"/>
    </xf>
    <xf numFmtId="0" fontId="173" fillId="44" borderId="77" xfId="8736" applyFont="1" applyFill="1" applyBorder="1" applyAlignment="1" applyProtection="1">
      <alignment horizontal="right"/>
      <protection locked="0"/>
    </xf>
    <xf numFmtId="0" fontId="173" fillId="48" borderId="95" xfId="8736" applyFont="1" applyFill="1" applyBorder="1" applyAlignment="1" applyProtection="1">
      <alignment horizontal="left"/>
      <protection locked="0"/>
    </xf>
    <xf numFmtId="0" fontId="173" fillId="48" borderId="70" xfId="8736" applyFont="1" applyFill="1" applyBorder="1" applyAlignment="1" applyProtection="1">
      <alignment horizontal="left"/>
      <protection locked="0"/>
    </xf>
    <xf numFmtId="0" fontId="173" fillId="48" borderId="77" xfId="8736" applyFont="1" applyFill="1" applyBorder="1" applyAlignment="1" applyProtection="1">
      <alignment horizontal="left"/>
      <protection locked="0"/>
    </xf>
    <xf numFmtId="168" fontId="175" fillId="48" borderId="11" xfId="700" applyNumberFormat="1" applyFont="1" applyFill="1" applyBorder="1" applyAlignment="1" applyProtection="1">
      <alignment horizontal="left"/>
      <protection locked="0"/>
    </xf>
    <xf numFmtId="168" fontId="175" fillId="48" borderId="76" xfId="700" applyNumberFormat="1" applyFont="1" applyFill="1" applyBorder="1" applyAlignment="1" applyProtection="1">
      <alignment horizontal="left"/>
      <protection locked="0"/>
    </xf>
    <xf numFmtId="0" fontId="173" fillId="48" borderId="68" xfId="8736" applyFont="1" applyFill="1" applyBorder="1" applyAlignment="1" applyProtection="1">
      <alignment horizontal="left"/>
      <protection locked="0"/>
    </xf>
    <xf numFmtId="0" fontId="173" fillId="48" borderId="71" xfId="8736" applyFont="1" applyFill="1" applyBorder="1" applyAlignment="1" applyProtection="1">
      <alignment horizontal="left"/>
      <protection locked="0"/>
    </xf>
    <xf numFmtId="0" fontId="167" fillId="45" borderId="69" xfId="8736" applyFont="1" applyFill="1" applyBorder="1" applyAlignment="1">
      <alignment horizontal="center"/>
    </xf>
    <xf numFmtId="0" fontId="167" fillId="45" borderId="70" xfId="8736" applyFont="1" applyFill="1" applyBorder="1" applyAlignment="1">
      <alignment horizontal="center"/>
    </xf>
    <xf numFmtId="0" fontId="104" fillId="45" borderId="67" xfId="8736" applyFont="1" applyFill="1" applyBorder="1" applyAlignment="1">
      <alignment horizontal="center"/>
    </xf>
    <xf numFmtId="0" fontId="104" fillId="45" borderId="68" xfId="8736" applyFont="1" applyFill="1" applyBorder="1" applyAlignment="1">
      <alignment horizontal="center"/>
    </xf>
    <xf numFmtId="0" fontId="167" fillId="45" borderId="98" xfId="8736" applyFont="1" applyFill="1" applyBorder="1" applyAlignment="1">
      <alignment horizontal="center"/>
    </xf>
    <xf numFmtId="0" fontId="167" fillId="45" borderId="13" xfId="8736" applyFont="1" applyFill="1" applyBorder="1" applyAlignment="1">
      <alignment horizontal="center"/>
    </xf>
    <xf numFmtId="0" fontId="173" fillId="48" borderId="72" xfId="8736" applyFont="1" applyFill="1" applyBorder="1" applyAlignment="1" applyProtection="1">
      <alignment horizontal="left" vertical="top"/>
      <protection locked="0"/>
    </xf>
    <xf numFmtId="0" fontId="173" fillId="48" borderId="11" xfId="8736" applyFont="1" applyFill="1" applyBorder="1" applyAlignment="1" applyProtection="1">
      <alignment horizontal="left" vertical="top"/>
      <protection locked="0"/>
    </xf>
    <xf numFmtId="0" fontId="173" fillId="48" borderId="76" xfId="8736" applyFont="1" applyFill="1" applyBorder="1" applyAlignment="1" applyProtection="1">
      <alignment horizontal="left" vertical="top"/>
      <protection locked="0"/>
    </xf>
    <xf numFmtId="0" fontId="173" fillId="48" borderId="69" xfId="8736" applyFont="1" applyFill="1" applyBorder="1" applyAlignment="1" applyProtection="1">
      <alignment horizontal="left" vertical="top"/>
      <protection locked="0"/>
    </xf>
    <xf numFmtId="0" fontId="173" fillId="48" borderId="70" xfId="8736" applyFont="1" applyFill="1" applyBorder="1" applyAlignment="1" applyProtection="1">
      <alignment horizontal="left" vertical="top"/>
      <protection locked="0"/>
    </xf>
    <xf numFmtId="0" fontId="173" fillId="48" borderId="77" xfId="8736" applyFont="1" applyFill="1" applyBorder="1" applyAlignment="1" applyProtection="1">
      <alignment horizontal="left" vertical="top"/>
      <protection locked="0"/>
    </xf>
    <xf numFmtId="0" fontId="173" fillId="48" borderId="72" xfId="8736" applyFont="1" applyFill="1" applyBorder="1" applyAlignment="1" applyProtection="1">
      <alignment horizontal="center"/>
      <protection locked="0"/>
    </xf>
    <xf numFmtId="0" fontId="167" fillId="45" borderId="89" xfId="8736" applyFont="1" applyFill="1" applyBorder="1" applyAlignment="1">
      <alignment horizontal="right"/>
    </xf>
    <xf numFmtId="0" fontId="167" fillId="45" borderId="43" xfId="8736" applyFont="1" applyFill="1" applyBorder="1" applyAlignment="1">
      <alignment horizontal="right"/>
    </xf>
    <xf numFmtId="168" fontId="167" fillId="45" borderId="43" xfId="8736" applyNumberFormat="1" applyFont="1" applyFill="1" applyBorder="1" applyAlignment="1">
      <alignment horizontal="left"/>
    </xf>
    <xf numFmtId="168" fontId="16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104" fillId="45" borderId="67" xfId="8736" applyFont="1" applyFill="1" applyBorder="1" applyAlignment="1">
      <alignment horizontal="center" wrapText="1"/>
    </xf>
    <xf numFmtId="0" fontId="104" fillId="45" borderId="68" xfId="8736" applyFont="1" applyFill="1" applyBorder="1" applyAlignment="1">
      <alignment horizontal="center" wrapText="1"/>
    </xf>
    <xf numFmtId="0" fontId="104" fillId="45" borderId="71" xfId="8736" applyFont="1" applyFill="1" applyBorder="1" applyAlignment="1">
      <alignment horizontal="center" wrapText="1"/>
    </xf>
    <xf numFmtId="0" fontId="104" fillId="45" borderId="67" xfId="8736" applyFont="1" applyFill="1" applyBorder="1" applyAlignment="1">
      <alignment horizontal="left" wrapText="1"/>
    </xf>
    <xf numFmtId="0" fontId="104" fillId="45" borderId="68" xfId="8736" applyFont="1" applyFill="1" applyBorder="1" applyAlignment="1">
      <alignment horizontal="left" wrapText="1"/>
    </xf>
    <xf numFmtId="0" fontId="104" fillId="45" borderId="72" xfId="8736" applyFont="1" applyFill="1" applyBorder="1" applyAlignment="1">
      <alignment horizontal="left" wrapText="1"/>
    </xf>
    <xf numFmtId="0" fontId="104" fillId="45" borderId="11" xfId="8736" applyFont="1" applyFill="1" applyBorder="1" applyAlignment="1">
      <alignment horizontal="left" wrapText="1"/>
    </xf>
    <xf numFmtId="0" fontId="170" fillId="48" borderId="68" xfId="8736" applyFont="1" applyFill="1" applyBorder="1" applyAlignment="1" applyProtection="1">
      <alignment horizontal="left" wrapText="1"/>
      <protection locked="0"/>
    </xf>
    <xf numFmtId="0" fontId="170" fillId="48" borderId="71" xfId="8736" applyFont="1" applyFill="1" applyBorder="1" applyAlignment="1" applyProtection="1">
      <alignment horizontal="left" wrapText="1"/>
      <protection locked="0"/>
    </xf>
    <xf numFmtId="0" fontId="170" fillId="48" borderId="11" xfId="8736" applyFont="1" applyFill="1" applyBorder="1" applyAlignment="1" applyProtection="1">
      <alignment horizontal="left" wrapText="1"/>
      <protection locked="0"/>
    </xf>
    <xf numFmtId="0" fontId="170" fillId="48" borderId="76" xfId="8736" applyFont="1" applyFill="1" applyBorder="1" applyAlignment="1" applyProtection="1">
      <alignment horizontal="left" wrapText="1"/>
      <protection locked="0"/>
    </xf>
    <xf numFmtId="0" fontId="174" fillId="45" borderId="11" xfId="8736" applyFont="1" applyFill="1" applyBorder="1" applyAlignment="1">
      <alignment horizontal="center" wrapText="1"/>
    </xf>
    <xf numFmtId="0" fontId="166" fillId="45" borderId="11" xfId="8736" applyFont="1" applyFill="1" applyBorder="1" applyAlignment="1">
      <alignment horizontal="center"/>
    </xf>
    <xf numFmtId="0" fontId="16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70" fillId="48" borderId="3" xfId="8736" applyFont="1" applyFill="1" applyBorder="1" applyAlignment="1" applyProtection="1">
      <alignment horizontal="center"/>
      <protection locked="0"/>
    </xf>
    <xf numFmtId="0" fontId="170" fillId="48" borderId="4" xfId="8736" applyFont="1" applyFill="1" applyBorder="1" applyAlignment="1" applyProtection="1">
      <alignment horizontal="center"/>
      <protection locked="0"/>
    </xf>
    <xf numFmtId="0" fontId="170" fillId="48" borderId="81" xfId="8736" applyFont="1" applyFill="1" applyBorder="1" applyAlignment="1" applyProtection="1">
      <alignment horizontal="center"/>
      <protection locked="0"/>
    </xf>
    <xf numFmtId="0" fontId="104" fillId="45" borderId="71" xfId="8736" applyFont="1" applyFill="1" applyBorder="1" applyAlignment="1">
      <alignment horizontal="center"/>
    </xf>
    <xf numFmtId="0" fontId="104" fillId="45" borderId="67" xfId="8736" applyFont="1" applyFill="1" applyBorder="1" applyAlignment="1" applyProtection="1">
      <alignment horizontal="left" vertical="center" wrapText="1"/>
      <protection locked="0"/>
    </xf>
    <xf numFmtId="0" fontId="104" fillId="45" borderId="68" xfId="8736" applyFont="1" applyFill="1" applyBorder="1" applyAlignment="1" applyProtection="1">
      <alignment horizontal="left" vertical="center" wrapText="1"/>
      <protection locked="0"/>
    </xf>
    <xf numFmtId="0" fontId="104" fillId="45" borderId="72" xfId="8736" applyFont="1" applyFill="1" applyBorder="1" applyAlignment="1" applyProtection="1">
      <alignment horizontal="left" vertical="center" wrapText="1"/>
      <protection locked="0"/>
    </xf>
    <xf numFmtId="0" fontId="104" fillId="45" borderId="11" xfId="8736" applyFont="1" applyFill="1" applyBorder="1" applyAlignment="1" applyProtection="1">
      <alignment horizontal="left" vertical="center" wrapText="1"/>
      <protection locked="0"/>
    </xf>
    <xf numFmtId="0" fontId="170" fillId="48" borderId="68" xfId="8736" applyFont="1" applyFill="1" applyBorder="1" applyAlignment="1" applyProtection="1">
      <alignment horizontal="left" vertical="center" wrapText="1"/>
      <protection locked="0"/>
    </xf>
    <xf numFmtId="0" fontId="170" fillId="48" borderId="71" xfId="8736" applyFont="1" applyFill="1" applyBorder="1" applyAlignment="1" applyProtection="1">
      <alignment horizontal="left" vertical="center" wrapText="1"/>
      <protection locked="0"/>
    </xf>
    <xf numFmtId="0" fontId="170" fillId="48" borderId="11" xfId="8736" applyFont="1" applyFill="1" applyBorder="1" applyAlignment="1" applyProtection="1">
      <alignment horizontal="left" vertical="center" wrapText="1"/>
      <protection locked="0"/>
    </xf>
    <xf numFmtId="0" fontId="170" fillId="48" borderId="76" xfId="8736" applyFont="1" applyFill="1" applyBorder="1" applyAlignment="1" applyProtection="1">
      <alignment horizontal="left" vertical="center" wrapText="1"/>
      <protection locked="0"/>
    </xf>
    <xf numFmtId="0" fontId="173" fillId="48" borderId="72" xfId="8736" applyFont="1" applyFill="1" applyBorder="1" applyAlignment="1" applyProtection="1">
      <alignment horizontal="left" vertical="top" wrapText="1"/>
      <protection locked="0"/>
    </xf>
    <xf numFmtId="0" fontId="173" fillId="48" borderId="11" xfId="8736" applyFont="1" applyFill="1" applyBorder="1" applyAlignment="1" applyProtection="1">
      <alignment horizontal="left" vertical="top" wrapText="1"/>
      <protection locked="0"/>
    </xf>
    <xf numFmtId="0" fontId="173" fillId="48" borderId="69" xfId="8736" applyFont="1" applyFill="1" applyBorder="1" applyAlignment="1" applyProtection="1">
      <alignment horizontal="left" vertical="top" wrapText="1"/>
      <protection locked="0"/>
    </xf>
    <xf numFmtId="0" fontId="173" fillId="48" borderId="70" xfId="8736" applyFont="1" applyFill="1" applyBorder="1" applyAlignment="1" applyProtection="1">
      <alignment horizontal="left" vertical="top" wrapText="1"/>
      <protection locked="0"/>
    </xf>
    <xf numFmtId="0" fontId="170" fillId="48" borderId="11" xfId="8736" applyFont="1" applyFill="1" applyBorder="1" applyAlignment="1" applyProtection="1">
      <alignment horizontal="center" vertical="center" wrapText="1"/>
      <protection locked="0"/>
    </xf>
    <xf numFmtId="0" fontId="170" fillId="48" borderId="76" xfId="8736" applyFont="1" applyFill="1" applyBorder="1" applyAlignment="1" applyProtection="1">
      <alignment horizontal="center" vertical="center" wrapText="1"/>
      <protection locked="0"/>
    </xf>
    <xf numFmtId="0" fontId="170" fillId="48" borderId="70" xfId="8736" applyFont="1" applyFill="1" applyBorder="1" applyAlignment="1" applyProtection="1">
      <alignment horizontal="center" vertical="center" wrapText="1"/>
      <protection locked="0"/>
    </xf>
    <xf numFmtId="0" fontId="170" fillId="48" borderId="77" xfId="8736" applyFont="1" applyFill="1" applyBorder="1" applyAlignment="1" applyProtection="1">
      <alignment horizontal="center" vertical="center" wrapText="1"/>
      <protection locked="0"/>
    </xf>
    <xf numFmtId="0" fontId="177" fillId="45" borderId="72" xfId="8736" applyFont="1" applyFill="1" applyBorder="1" applyAlignment="1">
      <alignment horizontal="left"/>
    </xf>
    <xf numFmtId="0" fontId="177" fillId="45" borderId="11" xfId="8736" applyFont="1" applyFill="1" applyBorder="1" applyAlignment="1">
      <alignment horizontal="left"/>
    </xf>
    <xf numFmtId="0" fontId="177" fillId="45" borderId="69" xfId="8736" applyFont="1" applyFill="1" applyBorder="1" applyAlignment="1">
      <alignment horizontal="left"/>
    </xf>
    <xf numFmtId="0" fontId="17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104" fillId="45" borderId="71" xfId="8736" applyFont="1" applyFill="1" applyBorder="1" applyAlignment="1">
      <alignment horizontal="left" wrapText="1"/>
    </xf>
    <xf numFmtId="0" fontId="104" fillId="45" borderId="76" xfId="8736" applyFont="1" applyFill="1" applyBorder="1" applyAlignment="1">
      <alignment horizontal="left" wrapText="1"/>
    </xf>
    <xf numFmtId="0" fontId="104" fillId="45" borderId="65" xfId="8736" applyFont="1" applyFill="1" applyBorder="1" applyAlignment="1">
      <alignment horizontal="center"/>
    </xf>
    <xf numFmtId="0" fontId="104" fillId="45" borderId="29" xfId="8736" applyFont="1" applyFill="1" applyBorder="1" applyAlignment="1">
      <alignment horizontal="center"/>
    </xf>
    <xf numFmtId="0" fontId="104" fillId="45" borderId="31" xfId="8736" applyFont="1" applyFill="1" applyBorder="1" applyAlignment="1">
      <alignment horizontal="center"/>
    </xf>
    <xf numFmtId="0" fontId="166" fillId="48" borderId="90" xfId="8736" applyFont="1" applyFill="1" applyBorder="1" applyAlignment="1">
      <alignment horizontal="left"/>
    </xf>
    <xf numFmtId="0" fontId="166" fillId="48" borderId="4" xfId="8736" applyFont="1" applyFill="1" applyBorder="1" applyAlignment="1">
      <alignment horizontal="left"/>
    </xf>
    <xf numFmtId="0" fontId="166" fillId="48" borderId="5" xfId="8736" applyFont="1" applyFill="1" applyBorder="1" applyAlignment="1">
      <alignment horizontal="left"/>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78" fillId="48" borderId="11" xfId="8736" applyFont="1" applyFill="1" applyBorder="1" applyAlignment="1" applyProtection="1">
      <alignment horizontal="left"/>
      <protection locked="0"/>
    </xf>
    <xf numFmtId="0" fontId="178" fillId="48" borderId="76" xfId="8736" applyFont="1" applyFill="1" applyBorder="1" applyAlignment="1" applyProtection="1">
      <alignment horizontal="left"/>
      <protection locked="0"/>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04" fillId="45" borderId="72" xfId="8736" applyFont="1" applyFill="1" applyBorder="1" applyAlignment="1">
      <alignment horizontal="center"/>
    </xf>
    <xf numFmtId="0" fontId="104" fillId="45" borderId="11" xfId="8736" applyFont="1" applyFill="1" applyBorder="1" applyAlignment="1">
      <alignment horizontal="center"/>
    </xf>
    <xf numFmtId="0" fontId="166" fillId="45" borderId="11" xfId="8736" applyFont="1" applyFill="1" applyBorder="1" applyAlignment="1">
      <alignment horizontal="center" wrapText="1"/>
    </xf>
    <xf numFmtId="0" fontId="166" fillId="45" borderId="76" xfId="8736" applyFont="1" applyFill="1" applyBorder="1" applyAlignment="1">
      <alignment horizontal="center" wrapText="1"/>
    </xf>
    <xf numFmtId="0" fontId="180" fillId="45" borderId="11" xfId="8736" applyFont="1" applyFill="1" applyBorder="1" applyAlignment="1">
      <alignment horizontal="left"/>
    </xf>
    <xf numFmtId="0" fontId="180" fillId="45" borderId="76" xfId="8736" applyFont="1" applyFill="1" applyBorder="1" applyAlignment="1">
      <alignment horizontal="left"/>
    </xf>
    <xf numFmtId="0" fontId="172" fillId="45" borderId="72" xfId="8736" applyFont="1" applyFill="1" applyBorder="1" applyAlignment="1">
      <alignment horizontal="center"/>
    </xf>
    <xf numFmtId="0" fontId="172" fillId="45" borderId="11" xfId="8736" applyFont="1" applyFill="1" applyBorder="1" applyAlignment="1">
      <alignment horizontal="center"/>
    </xf>
    <xf numFmtId="0" fontId="175" fillId="48" borderId="11" xfId="8736" applyFont="1" applyFill="1" applyBorder="1" applyAlignment="1" applyProtection="1">
      <alignment horizontal="center"/>
      <protection locked="0"/>
    </xf>
    <xf numFmtId="14" fontId="173" fillId="48" borderId="11" xfId="8736" applyNumberFormat="1"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0" fontId="104" fillId="45" borderId="76" xfId="8736" applyFont="1" applyFill="1" applyBorder="1" applyAlignment="1">
      <alignment horizontal="center"/>
    </xf>
    <xf numFmtId="168" fontId="175" fillId="48" borderId="11" xfId="8737" applyNumberFormat="1" applyFont="1" applyFill="1" applyBorder="1" applyAlignment="1" applyProtection="1">
      <alignment horizontal="center"/>
      <protection locked="0"/>
    </xf>
    <xf numFmtId="168" fontId="175" fillId="48" borderId="76" xfId="8737" applyNumberFormat="1" applyFont="1" applyFill="1" applyBorder="1" applyAlignment="1" applyProtection="1">
      <alignment horizontal="center"/>
      <protection locked="0"/>
    </xf>
    <xf numFmtId="0" fontId="176" fillId="48" borderId="11" xfId="8736" applyFont="1" applyFill="1" applyBorder="1" applyAlignment="1" applyProtection="1">
      <alignment horizontal="left"/>
      <protection locked="0"/>
    </xf>
    <xf numFmtId="0" fontId="172" fillId="45" borderId="69" xfId="8736" applyFont="1" applyFill="1" applyBorder="1" applyAlignment="1">
      <alignment horizontal="center"/>
    </xf>
    <xf numFmtId="0" fontId="172" fillId="45" borderId="70" xfId="8736" applyFont="1" applyFill="1" applyBorder="1" applyAlignment="1">
      <alignment horizontal="center"/>
    </xf>
    <xf numFmtId="0" fontId="176" fillId="48" borderId="70" xfId="8736" applyFont="1" applyFill="1" applyBorder="1" applyAlignment="1" applyProtection="1">
      <alignment horizontal="left"/>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68" fontId="175" fillId="48" borderId="70" xfId="8737" applyNumberFormat="1" applyFont="1" applyFill="1" applyBorder="1" applyAlignment="1" applyProtection="1">
      <alignment horizontal="center"/>
      <protection locked="0"/>
    </xf>
    <xf numFmtId="168" fontId="175" fillId="48" borderId="77" xfId="8737" applyNumberFormat="1" applyFont="1" applyFill="1" applyBorder="1" applyAlignment="1" applyProtection="1">
      <alignment horizontal="center"/>
      <protection locked="0"/>
    </xf>
    <xf numFmtId="0" fontId="167" fillId="45" borderId="67" xfId="8736" applyFont="1" applyFill="1" applyBorder="1" applyAlignment="1">
      <alignment horizontal="left"/>
    </xf>
    <xf numFmtId="0" fontId="167" fillId="45" borderId="68" xfId="8736" applyFont="1" applyFill="1" applyBorder="1" applyAlignment="1">
      <alignment horizontal="left"/>
    </xf>
    <xf numFmtId="0" fontId="167" fillId="45" borderId="71" xfId="8736" applyFont="1" applyFill="1" applyBorder="1" applyAlignment="1">
      <alignment horizontal="left"/>
    </xf>
    <xf numFmtId="14" fontId="173" fillId="48" borderId="76" xfId="8736" applyNumberFormat="1" applyFont="1" applyFill="1" applyBorder="1" applyAlignment="1" applyProtection="1">
      <alignment horizontal="center"/>
      <protection locked="0"/>
    </xf>
    <xf numFmtId="0" fontId="173" fillId="48" borderId="69" xfId="8736" applyFont="1" applyFill="1" applyBorder="1" applyAlignment="1" applyProtection="1">
      <alignment horizontal="center"/>
      <protection locked="0"/>
    </xf>
    <xf numFmtId="0" fontId="173" fillId="48" borderId="70" xfId="8736" applyFont="1" applyFill="1" applyBorder="1" applyAlignment="1" applyProtection="1">
      <alignment horizontal="center"/>
      <protection locked="0"/>
    </xf>
    <xf numFmtId="14" fontId="173" fillId="48" borderId="70" xfId="8736" applyNumberFormat="1" applyFont="1" applyFill="1" applyBorder="1" applyAlignment="1" applyProtection="1">
      <alignment horizontal="center"/>
      <protection locked="0"/>
    </xf>
    <xf numFmtId="14" fontId="173" fillId="48" borderId="77" xfId="8736" applyNumberFormat="1" applyFont="1" applyFill="1" applyBorder="1" applyAlignment="1" applyProtection="1">
      <alignment horizontal="center"/>
      <protection locked="0"/>
    </xf>
    <xf numFmtId="0" fontId="173" fillId="45" borderId="72" xfId="8736" applyFont="1" applyFill="1" applyBorder="1" applyAlignment="1">
      <alignment horizontal="right"/>
    </xf>
    <xf numFmtId="0" fontId="173" fillId="45" borderId="11" xfId="8736" applyFont="1" applyFill="1" applyBorder="1" applyAlignment="1">
      <alignment horizontal="right"/>
    </xf>
    <xf numFmtId="168" fontId="175" fillId="44" borderId="11" xfId="700" applyNumberFormat="1" applyFont="1" applyFill="1" applyBorder="1" applyAlignment="1">
      <alignment horizontal="left"/>
    </xf>
    <xf numFmtId="0" fontId="104" fillId="45" borderId="65" xfId="8736" applyFont="1" applyFill="1" applyBorder="1" applyAlignment="1">
      <alignment horizontal="left" wrapText="1"/>
    </xf>
    <xf numFmtId="0" fontId="104" fillId="45" borderId="29" xfId="8736" applyFont="1" applyFill="1" applyBorder="1" applyAlignment="1">
      <alignment horizontal="left" wrapText="1"/>
    </xf>
    <xf numFmtId="0" fontId="104" fillId="45" borderId="31" xfId="8736" applyFont="1" applyFill="1" applyBorder="1" applyAlignment="1">
      <alignment horizontal="left" wrapText="1"/>
    </xf>
    <xf numFmtId="0" fontId="104" fillId="45" borderId="73" xfId="8736" applyFont="1" applyFill="1" applyBorder="1" applyAlignment="1">
      <alignment horizontal="left" wrapText="1"/>
    </xf>
    <xf numFmtId="0" fontId="104" fillId="45" borderId="42" xfId="8736" applyFont="1" applyFill="1" applyBorder="1" applyAlignment="1">
      <alignment horizontal="left" wrapText="1"/>
    </xf>
    <xf numFmtId="0" fontId="104" fillId="45" borderId="44" xfId="8736" applyFont="1" applyFill="1" applyBorder="1" applyAlignment="1">
      <alignment horizontal="left" wrapText="1"/>
    </xf>
    <xf numFmtId="168" fontId="173" fillId="48" borderId="11" xfId="700" applyNumberFormat="1" applyFont="1" applyFill="1" applyBorder="1" applyAlignment="1" applyProtection="1">
      <alignment horizontal="left"/>
      <protection locked="0"/>
    </xf>
    <xf numFmtId="43" fontId="170" fillId="50" borderId="72" xfId="698" applyFont="1" applyFill="1" applyBorder="1" applyAlignment="1" applyProtection="1">
      <alignment horizontal="left"/>
      <protection hidden="1"/>
    </xf>
    <xf numFmtId="43" fontId="170" fillId="50" borderId="11" xfId="698" applyFont="1" applyFill="1" applyBorder="1" applyAlignment="1" applyProtection="1">
      <alignment horizontal="left"/>
      <protection hidden="1"/>
    </xf>
    <xf numFmtId="44" fontId="3" fillId="48" borderId="11" xfId="700" applyFont="1" applyFill="1" applyBorder="1" applyAlignment="1" applyProtection="1">
      <alignment horizontal="center"/>
      <protection locked="0"/>
    </xf>
    <xf numFmtId="0" fontId="104" fillId="47" borderId="0" xfId="8736" applyFont="1" applyFill="1" applyAlignment="1">
      <alignment horizontal="center"/>
    </xf>
    <xf numFmtId="0" fontId="174" fillId="51" borderId="11" xfId="8736" applyFont="1" applyFill="1" applyBorder="1" applyAlignment="1">
      <alignment horizontal="center"/>
    </xf>
    <xf numFmtId="0" fontId="174" fillId="51" borderId="76" xfId="8736" applyFont="1" applyFill="1" applyBorder="1" applyAlignment="1">
      <alignment horizontal="center"/>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67" fillId="50" borderId="111" xfId="698" applyFont="1" applyFill="1" applyBorder="1" applyAlignment="1" applyProtection="1">
      <alignment horizontal="center"/>
      <protection hidden="1"/>
    </xf>
    <xf numFmtId="43" fontId="167" fillId="50" borderId="84" xfId="698" applyFont="1" applyFill="1" applyBorder="1" applyAlignment="1" applyProtection="1">
      <alignment horizontal="center"/>
      <protection hidden="1"/>
    </xf>
    <xf numFmtId="43" fontId="167" fillId="50" borderId="102" xfId="698" applyFont="1" applyFill="1" applyBorder="1" applyAlignment="1" applyProtection="1">
      <alignment horizontal="center"/>
      <protection hidden="1"/>
    </xf>
    <xf numFmtId="43" fontId="170" fillId="50" borderId="98" xfId="698" applyFont="1" applyFill="1" applyBorder="1" applyAlignment="1" applyProtection="1">
      <alignment horizontal="left"/>
      <protection hidden="1"/>
    </xf>
    <xf numFmtId="43" fontId="170" fillId="50" borderId="13" xfId="698" applyFont="1" applyFill="1" applyBorder="1" applyAlignment="1" applyProtection="1">
      <alignment horizontal="left"/>
      <protection hidden="1"/>
    </xf>
    <xf numFmtId="44" fontId="3" fillId="48" borderId="13" xfId="700" applyFont="1" applyFill="1" applyBorder="1" applyAlignment="1" applyProtection="1">
      <alignment horizontal="center"/>
      <protection locked="0"/>
    </xf>
    <xf numFmtId="0" fontId="173" fillId="48" borderId="9" xfId="8736" applyFont="1" applyFill="1" applyBorder="1" applyAlignment="1">
      <alignment horizontal="center"/>
    </xf>
    <xf numFmtId="0" fontId="173" fillId="48" borderId="6" xfId="8736" applyFont="1" applyFill="1" applyBorder="1" applyAlignment="1">
      <alignment horizontal="center"/>
    </xf>
    <xf numFmtId="0" fontId="173" fillId="48" borderId="82" xfId="8736" applyFont="1" applyFill="1" applyBorder="1" applyAlignment="1">
      <alignment horizontal="center"/>
    </xf>
    <xf numFmtId="0" fontId="17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75" fillId="48" borderId="72" xfId="8736" applyFont="1" applyFill="1" applyBorder="1" applyAlignment="1" applyProtection="1">
      <alignment horizontal="center"/>
      <protection locked="0"/>
    </xf>
    <xf numFmtId="43" fontId="170" fillId="50" borderId="72" xfId="698" applyFont="1" applyFill="1" applyBorder="1" applyAlignment="1" applyProtection="1">
      <alignment horizontal="left" wrapText="1"/>
      <protection hidden="1"/>
    </xf>
    <xf numFmtId="43" fontId="170" fillId="50" borderId="11" xfId="698" applyFont="1" applyFill="1" applyBorder="1" applyAlignment="1" applyProtection="1">
      <alignment horizontal="left" wrapText="1"/>
      <protection hidden="1"/>
    </xf>
    <xf numFmtId="44" fontId="3" fillId="48" borderId="11" xfId="700" applyFont="1" applyFill="1" applyBorder="1" applyAlignment="1" applyProtection="1">
      <alignment horizontal="center"/>
      <protection hidden="1"/>
    </xf>
    <xf numFmtId="0" fontId="175" fillId="45" borderId="67" xfId="8736" applyFont="1" applyFill="1" applyBorder="1" applyAlignment="1">
      <alignment horizontal="right"/>
    </xf>
    <xf numFmtId="0" fontId="175" fillId="45" borderId="68" xfId="8736" applyFont="1" applyFill="1" applyBorder="1" applyAlignment="1">
      <alignment horizontal="right"/>
    </xf>
    <xf numFmtId="168" fontId="170" fillId="44" borderId="68" xfId="700" applyNumberFormat="1" applyFont="1" applyFill="1" applyBorder="1" applyAlignment="1">
      <alignment horizontal="left"/>
    </xf>
    <xf numFmtId="168" fontId="170" fillId="44" borderId="71" xfId="700" applyNumberFormat="1" applyFont="1" applyFill="1" applyBorder="1" applyAlignment="1">
      <alignment horizontal="left"/>
    </xf>
    <xf numFmtId="0" fontId="172" fillId="48" borderId="66" xfId="8736" applyFont="1" applyFill="1" applyBorder="1" applyAlignment="1">
      <alignment horizontal="left" wrapText="1"/>
    </xf>
    <xf numFmtId="0" fontId="172" fillId="48" borderId="0" xfId="8736" applyFont="1" applyFill="1" applyAlignment="1">
      <alignment horizontal="left" wrapText="1"/>
    </xf>
    <xf numFmtId="0" fontId="172" fillId="48" borderId="41" xfId="8736" applyFont="1" applyFill="1" applyBorder="1" applyAlignment="1">
      <alignment horizontal="left" wrapText="1"/>
    </xf>
    <xf numFmtId="0" fontId="172" fillId="48" borderId="73" xfId="8736" applyFont="1" applyFill="1" applyBorder="1" applyAlignment="1">
      <alignment horizontal="left" wrapText="1"/>
    </xf>
    <xf numFmtId="0" fontId="172" fillId="48" borderId="42" xfId="8736" applyFont="1" applyFill="1" applyBorder="1" applyAlignment="1">
      <alignment horizontal="left" wrapText="1"/>
    </xf>
    <xf numFmtId="0" fontId="172" fillId="48" borderId="44" xfId="8736" applyFont="1" applyFill="1" applyBorder="1" applyAlignment="1">
      <alignment horizontal="left" wrapText="1"/>
    </xf>
    <xf numFmtId="0" fontId="174" fillId="45" borderId="69" xfId="8736" applyFont="1" applyFill="1" applyBorder="1" applyAlignment="1">
      <alignment horizontal="right"/>
    </xf>
    <xf numFmtId="0" fontId="174" fillId="45" borderId="70" xfId="8736" applyFont="1" applyFill="1" applyBorder="1" applyAlignment="1">
      <alignment horizontal="right"/>
    </xf>
    <xf numFmtId="0" fontId="166" fillId="44" borderId="70" xfId="700" applyNumberFormat="1" applyFont="1" applyFill="1" applyBorder="1" applyAlignment="1">
      <alignment horizontal="left"/>
    </xf>
    <xf numFmtId="168" fontId="166" fillId="44" borderId="70" xfId="700" applyNumberFormat="1" applyFont="1" applyFill="1" applyBorder="1" applyAlignment="1">
      <alignment horizontal="left"/>
    </xf>
    <xf numFmtId="168" fontId="166" fillId="44" borderId="77" xfId="700" applyNumberFormat="1" applyFont="1" applyFill="1" applyBorder="1" applyAlignment="1">
      <alignment horizontal="left"/>
    </xf>
    <xf numFmtId="0" fontId="167" fillId="47" borderId="0" xfId="8736" applyFont="1" applyFill="1" applyAlignment="1">
      <alignment horizontal="right"/>
    </xf>
    <xf numFmtId="168" fontId="171" fillId="47" borderId="0"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center"/>
      <protection locked="0"/>
    </xf>
    <xf numFmtId="0" fontId="173" fillId="48" borderId="86" xfId="8736" applyFont="1" applyFill="1" applyBorder="1" applyAlignment="1" applyProtection="1">
      <alignment horizontal="center"/>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3" fillId="48" borderId="86" xfId="700" applyNumberFormat="1" applyFont="1" applyFill="1" applyBorder="1" applyAlignment="1" applyProtection="1">
      <alignment horizontal="left"/>
      <protection locked="0"/>
    </xf>
    <xf numFmtId="168" fontId="173" fillId="48" borderId="85" xfId="700" applyNumberFormat="1" applyFont="1" applyFill="1" applyBorder="1" applyAlignment="1" applyProtection="1">
      <alignment horizontal="left"/>
      <protection locked="0"/>
    </xf>
    <xf numFmtId="0" fontId="173" fillId="48" borderId="87" xfId="8736" applyFont="1" applyFill="1" applyBorder="1" applyAlignment="1" applyProtection="1">
      <alignment horizontal="left"/>
      <protection locked="0"/>
    </xf>
    <xf numFmtId="0" fontId="173" fillId="48" borderId="86" xfId="8736" applyFont="1" applyFill="1" applyBorder="1" applyAlignment="1" applyProtection="1">
      <alignment horizontal="left"/>
      <protection locked="0"/>
    </xf>
    <xf numFmtId="0" fontId="173" fillId="48" borderId="85" xfId="8736" applyFont="1" applyFill="1" applyBorder="1" applyAlignment="1" applyProtection="1">
      <alignment horizontal="left"/>
      <protection locked="0"/>
    </xf>
    <xf numFmtId="0" fontId="104" fillId="48" borderId="80" xfId="8736" applyFont="1" applyFill="1" applyBorder="1" applyAlignment="1">
      <alignment horizontal="left"/>
    </xf>
    <xf numFmtId="0" fontId="104" fillId="48" borderId="79" xfId="8736" applyFont="1" applyFill="1" applyBorder="1" applyAlignment="1">
      <alignment horizontal="left"/>
    </xf>
    <xf numFmtId="44" fontId="3" fillId="48" borderId="84" xfId="700" applyFont="1" applyFill="1" applyBorder="1" applyAlignment="1" applyProtection="1">
      <alignment horizontal="center"/>
      <protection locked="0"/>
    </xf>
    <xf numFmtId="0" fontId="173" fillId="45" borderId="11" xfId="8736" applyFont="1" applyFill="1" applyBorder="1" applyAlignment="1">
      <alignment horizontal="left"/>
    </xf>
    <xf numFmtId="182" fontId="3" fillId="48" borderId="11" xfId="700" applyNumberFormat="1" applyFont="1" applyFill="1" applyBorder="1" applyAlignment="1" applyProtection="1">
      <alignment horizontal="center"/>
      <protection locked="0"/>
    </xf>
    <xf numFmtId="10" fontId="17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66" fillId="45" borderId="80" xfId="569" applyFont="1" applyFill="1" applyBorder="1" applyAlignment="1" applyProtection="1">
      <alignment horizontal="center" wrapText="1"/>
      <protection hidden="1"/>
    </xf>
    <xf numFmtId="0" fontId="166" fillId="45" borderId="79" xfId="569" applyFont="1" applyFill="1" applyBorder="1" applyAlignment="1" applyProtection="1">
      <alignment horizontal="center" wrapText="1"/>
      <protection hidden="1"/>
    </xf>
    <xf numFmtId="0" fontId="166" fillId="45" borderId="78" xfId="569" applyFont="1" applyFill="1" applyBorder="1" applyAlignment="1" applyProtection="1">
      <alignment horizontal="center" wrapText="1"/>
      <protection hidden="1"/>
    </xf>
    <xf numFmtId="0" fontId="166" fillId="45" borderId="13" xfId="569" applyFont="1" applyFill="1" applyBorder="1" applyAlignment="1" applyProtection="1">
      <alignment horizontal="left" wrapText="1"/>
      <protection hidden="1"/>
    </xf>
    <xf numFmtId="0" fontId="166" fillId="45" borderId="13" xfId="569" applyFont="1" applyFill="1" applyBorder="1" applyAlignment="1" applyProtection="1">
      <alignment horizontal="center" wrapText="1"/>
      <protection hidden="1"/>
    </xf>
    <xf numFmtId="0" fontId="172" fillId="45" borderId="11" xfId="8736" applyFont="1" applyFill="1" applyBorder="1" applyAlignment="1">
      <alignment horizontal="left" wrapText="1"/>
    </xf>
    <xf numFmtId="43" fontId="167" fillId="45" borderId="80" xfId="698" applyFont="1" applyFill="1" applyBorder="1" applyAlignment="1" applyProtection="1">
      <alignment horizontal="center"/>
      <protection hidden="1"/>
    </xf>
    <xf numFmtId="43" fontId="167" fillId="45" borderId="79" xfId="698" applyFont="1" applyFill="1" applyBorder="1" applyAlignment="1" applyProtection="1">
      <alignment horizontal="center"/>
      <protection hidden="1"/>
    </xf>
    <xf numFmtId="43" fontId="167" fillId="45" borderId="78" xfId="698" applyFont="1" applyFill="1" applyBorder="1" applyAlignment="1" applyProtection="1">
      <alignment horizontal="center"/>
      <protection hidden="1"/>
    </xf>
    <xf numFmtId="43" fontId="171" fillId="49" borderId="66" xfId="698" applyFont="1" applyFill="1" applyBorder="1" applyAlignment="1" applyProtection="1">
      <alignment horizontal="center" wrapText="1"/>
      <protection hidden="1"/>
    </xf>
    <xf numFmtId="43" fontId="171" fillId="49" borderId="0" xfId="698" applyFont="1" applyFill="1" applyBorder="1" applyAlignment="1" applyProtection="1">
      <alignment horizontal="center" wrapText="1"/>
      <protection hidden="1"/>
    </xf>
    <xf numFmtId="43" fontId="171" fillId="49" borderId="12" xfId="698" applyFont="1" applyFill="1" applyBorder="1" applyAlignment="1" applyProtection="1">
      <alignment horizontal="center" wrapText="1"/>
      <protection hidden="1"/>
    </xf>
    <xf numFmtId="43" fontId="171" fillId="49" borderId="83" xfId="698" applyFont="1" applyFill="1" applyBorder="1" applyAlignment="1" applyProtection="1">
      <alignment horizontal="center" wrapText="1"/>
      <protection hidden="1"/>
    </xf>
    <xf numFmtId="43" fontId="171" fillId="49" borderId="6" xfId="698" applyFont="1" applyFill="1" applyBorder="1" applyAlignment="1" applyProtection="1">
      <alignment horizontal="center" wrapText="1"/>
      <protection hidden="1"/>
    </xf>
    <xf numFmtId="43" fontId="171" fillId="49" borderId="10" xfId="698" applyFont="1" applyFill="1" applyBorder="1" applyAlignment="1" applyProtection="1">
      <alignment horizontal="center" wrapText="1"/>
      <protection hidden="1"/>
    </xf>
    <xf numFmtId="43" fontId="171" fillId="49" borderId="8" xfId="698" applyFont="1" applyFill="1" applyBorder="1" applyAlignment="1" applyProtection="1">
      <alignment horizontal="center" wrapText="1"/>
      <protection hidden="1"/>
    </xf>
    <xf numFmtId="43" fontId="171" fillId="49" borderId="9" xfId="698" applyFont="1" applyFill="1" applyBorder="1" applyAlignment="1" applyProtection="1">
      <alignment horizontal="center" wrapText="1"/>
      <protection hidden="1"/>
    </xf>
    <xf numFmtId="14" fontId="171" fillId="0" borderId="8" xfId="700" applyNumberFormat="1" applyFont="1" applyFill="1" applyBorder="1" applyAlignment="1" applyProtection="1">
      <alignment horizontal="center" wrapText="1"/>
      <protection hidden="1"/>
    </xf>
    <xf numFmtId="14" fontId="171" fillId="0" borderId="0" xfId="700" applyNumberFormat="1" applyFont="1" applyFill="1" applyBorder="1" applyAlignment="1" applyProtection="1">
      <alignment horizontal="center" wrapText="1"/>
      <protection hidden="1"/>
    </xf>
    <xf numFmtId="14" fontId="171" fillId="0" borderId="12" xfId="700" applyNumberFormat="1" applyFont="1" applyFill="1" applyBorder="1" applyAlignment="1" applyProtection="1">
      <alignment horizontal="center" wrapText="1"/>
      <protection hidden="1"/>
    </xf>
    <xf numFmtId="14" fontId="171" fillId="0" borderId="9" xfId="700" applyNumberFormat="1" applyFont="1" applyFill="1" applyBorder="1" applyAlignment="1" applyProtection="1">
      <alignment horizontal="center" wrapText="1"/>
      <protection hidden="1"/>
    </xf>
    <xf numFmtId="14" fontId="171" fillId="0" borderId="6" xfId="700" applyNumberFormat="1" applyFont="1" applyFill="1" applyBorder="1" applyAlignment="1" applyProtection="1">
      <alignment horizontal="center" wrapText="1"/>
      <protection hidden="1"/>
    </xf>
    <xf numFmtId="14" fontId="171" fillId="0" borderId="10" xfId="700" applyNumberFormat="1" applyFont="1" applyFill="1" applyBorder="1" applyAlignment="1" applyProtection="1">
      <alignment horizontal="center" wrapText="1"/>
      <protection hidden="1"/>
    </xf>
    <xf numFmtId="44" fontId="171" fillId="0" borderId="8" xfId="700" applyFont="1" applyBorder="1" applyAlignment="1" applyProtection="1">
      <alignment horizontal="center" wrapText="1"/>
      <protection hidden="1"/>
    </xf>
    <xf numFmtId="44" fontId="171" fillId="0" borderId="0" xfId="700" applyFont="1" applyBorder="1" applyAlignment="1" applyProtection="1">
      <alignment horizontal="center" wrapText="1"/>
      <protection hidden="1"/>
    </xf>
    <xf numFmtId="44" fontId="171" fillId="0" borderId="12" xfId="700" applyFont="1" applyBorder="1" applyAlignment="1" applyProtection="1">
      <alignment horizontal="center" wrapText="1"/>
      <protection hidden="1"/>
    </xf>
    <xf numFmtId="44" fontId="171" fillId="0" borderId="9" xfId="700" applyFont="1" applyBorder="1" applyAlignment="1" applyProtection="1">
      <alignment horizontal="center" wrapText="1"/>
      <protection hidden="1"/>
    </xf>
    <xf numFmtId="44" fontId="171" fillId="0" borderId="6" xfId="700" applyFont="1" applyBorder="1" applyAlignment="1" applyProtection="1">
      <alignment horizontal="center" wrapText="1"/>
      <protection hidden="1"/>
    </xf>
    <xf numFmtId="44" fontId="171" fillId="0" borderId="10" xfId="700" applyFont="1" applyBorder="1" applyAlignment="1" applyProtection="1">
      <alignment horizontal="center" wrapText="1"/>
      <protection hidden="1"/>
    </xf>
    <xf numFmtId="43" fontId="171" fillId="49" borderId="41" xfId="698" applyFont="1" applyFill="1" applyBorder="1" applyAlignment="1" applyProtection="1">
      <alignment horizontal="center" wrapText="1"/>
      <protection hidden="1"/>
    </xf>
    <xf numFmtId="43" fontId="171" fillId="49" borderId="82" xfId="698" applyFont="1" applyFill="1" applyBorder="1" applyAlignment="1" applyProtection="1">
      <alignment horizontal="center" wrapText="1"/>
      <protection hidden="1"/>
    </xf>
    <xf numFmtId="0" fontId="169" fillId="50" borderId="3" xfId="698" applyNumberFormat="1" applyFont="1" applyFill="1" applyBorder="1" applyAlignment="1" applyProtection="1">
      <alignment horizontal="center"/>
      <protection locked="0"/>
    </xf>
    <xf numFmtId="0" fontId="169" fillId="50" borderId="4" xfId="698" applyNumberFormat="1" applyFont="1" applyFill="1" applyBorder="1" applyAlignment="1" applyProtection="1">
      <alignment horizontal="center"/>
      <protection locked="0"/>
    </xf>
    <xf numFmtId="0" fontId="169" fillId="50" borderId="81" xfId="698" applyNumberFormat="1" applyFont="1" applyFill="1" applyBorder="1" applyAlignment="1" applyProtection="1">
      <alignment horizontal="center"/>
      <protection locked="0"/>
    </xf>
    <xf numFmtId="0" fontId="170" fillId="49" borderId="72" xfId="698" applyNumberFormat="1" applyFont="1" applyFill="1" applyBorder="1" applyAlignment="1" applyProtection="1">
      <alignment horizontal="center"/>
      <protection hidden="1"/>
    </xf>
    <xf numFmtId="0" fontId="170" fillId="49" borderId="11" xfId="698" applyNumberFormat="1" applyFont="1" applyFill="1" applyBorder="1" applyAlignment="1" applyProtection="1">
      <alignment horizontal="center"/>
      <protection hidden="1"/>
    </xf>
    <xf numFmtId="0" fontId="170" fillId="48" borderId="11" xfId="569" applyFont="1" applyFill="1" applyBorder="1" applyAlignment="1" applyProtection="1">
      <alignment horizontal="center"/>
      <protection locked="0"/>
    </xf>
    <xf numFmtId="14" fontId="169" fillId="48" borderId="11" xfId="700" applyNumberFormat="1" applyFont="1" applyFill="1" applyBorder="1" applyAlignment="1" applyProtection="1">
      <alignment horizontal="center"/>
      <protection locked="0"/>
    </xf>
    <xf numFmtId="168" fontId="170" fillId="48" borderId="11" xfId="700" applyNumberFormat="1" applyFont="1" applyFill="1" applyBorder="1" applyAlignment="1" applyProtection="1">
      <alignment horizontal="center"/>
      <protection locked="0"/>
    </xf>
    <xf numFmtId="9" fontId="170" fillId="48" borderId="11" xfId="1022" applyFont="1" applyFill="1" applyBorder="1" applyAlignment="1" applyProtection="1">
      <alignment horizontal="center"/>
      <protection locked="0"/>
    </xf>
    <xf numFmtId="44" fontId="169" fillId="48" borderId="11" xfId="700" applyFont="1" applyFill="1" applyBorder="1" applyAlignment="1" applyProtection="1">
      <alignment horizontal="center"/>
      <protection locked="0"/>
    </xf>
    <xf numFmtId="0" fontId="168" fillId="47" borderId="65" xfId="8736" applyFont="1" applyFill="1" applyBorder="1" applyAlignment="1">
      <alignment horizontal="center"/>
    </xf>
    <xf numFmtId="0" fontId="168" fillId="47" borderId="29" xfId="8736" applyFont="1" applyFill="1" applyBorder="1" applyAlignment="1">
      <alignment horizontal="center"/>
    </xf>
    <xf numFmtId="0" fontId="16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67" fillId="47" borderId="66" xfId="8736" applyFont="1" applyFill="1" applyBorder="1" applyAlignment="1">
      <alignment horizontal="center"/>
    </xf>
    <xf numFmtId="0" fontId="167" fillId="47" borderId="0" xfId="8736" applyFont="1" applyFill="1" applyAlignment="1">
      <alignment horizontal="center"/>
    </xf>
    <xf numFmtId="0" fontId="167" fillId="47" borderId="41" xfId="8736" applyFont="1" applyFill="1" applyBorder="1" applyAlignment="1">
      <alignment horizontal="center"/>
    </xf>
    <xf numFmtId="0" fontId="104" fillId="47" borderId="66" xfId="8736" applyFont="1" applyFill="1" applyBorder="1" applyAlignment="1">
      <alignment horizontal="center"/>
    </xf>
    <xf numFmtId="0" fontId="104" fillId="47" borderId="41" xfId="8736" applyFont="1" applyFill="1" applyBorder="1" applyAlignment="1">
      <alignment horizontal="center"/>
    </xf>
    <xf numFmtId="0" fontId="104" fillId="47" borderId="0" xfId="8736" applyFont="1" applyFill="1" applyAlignment="1">
      <alignment horizontal="left"/>
    </xf>
    <xf numFmtId="43" fontId="167" fillId="49" borderId="72" xfId="698" applyFont="1" applyFill="1" applyBorder="1" applyAlignment="1" applyProtection="1">
      <alignment horizontal="right"/>
      <protection hidden="1"/>
    </xf>
    <xf numFmtId="43" fontId="167" fillId="49" borderId="11" xfId="698" applyFont="1" applyFill="1" applyBorder="1" applyAlignment="1" applyProtection="1">
      <alignment horizontal="right"/>
      <protection hidden="1"/>
    </xf>
    <xf numFmtId="44" fontId="167" fillId="0" borderId="11" xfId="700" applyFont="1" applyBorder="1" applyAlignment="1" applyProtection="1">
      <alignment horizontal="center"/>
      <protection hidden="1"/>
    </xf>
    <xf numFmtId="168" fontId="167" fillId="0" borderId="11" xfId="700" applyNumberFormat="1" applyFont="1" applyBorder="1" applyAlignment="1" applyProtection="1">
      <alignment horizontal="center"/>
      <protection hidden="1"/>
    </xf>
    <xf numFmtId="9" fontId="167" fillId="0" borderId="11" xfId="1022" applyFont="1" applyBorder="1" applyAlignment="1" applyProtection="1">
      <alignment horizontal="center"/>
      <protection hidden="1"/>
    </xf>
    <xf numFmtId="43" fontId="167" fillId="49" borderId="3" xfId="698" applyFont="1" applyFill="1" applyBorder="1" applyAlignment="1" applyProtection="1">
      <alignment horizontal="center"/>
      <protection hidden="1"/>
    </xf>
    <xf numFmtId="43" fontId="167" fillId="49" borderId="4" xfId="698" applyFont="1" applyFill="1" applyBorder="1" applyAlignment="1" applyProtection="1">
      <alignment horizontal="center"/>
      <protection hidden="1"/>
    </xf>
    <xf numFmtId="43" fontId="167" fillId="49" borderId="81" xfId="698" applyFont="1" applyFill="1" applyBorder="1" applyAlignment="1" applyProtection="1">
      <alignment horizontal="center"/>
      <protection hidden="1"/>
    </xf>
    <xf numFmtId="0" fontId="10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66" fillId="44" borderId="0" xfId="8736" applyFont="1" applyFill="1" applyAlignment="1">
      <alignment horizontal="left" vertical="top"/>
    </xf>
    <xf numFmtId="0" fontId="10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67" fillId="47" borderId="0" xfId="8736" applyFont="1" applyFill="1" applyAlignment="1">
      <alignment horizontal="left" vertical="top" wrapText="1"/>
    </xf>
    <xf numFmtId="0" fontId="10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10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10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55"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2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24" fillId="0" borderId="50" xfId="4496" applyFont="1" applyBorder="1" applyAlignment="1">
      <alignment horizontal="left" vertical="top" wrapText="1"/>
    </xf>
    <xf numFmtId="0" fontId="124" fillId="0" borderId="51" xfId="4496" applyFont="1" applyBorder="1" applyAlignment="1">
      <alignment horizontal="left" vertical="top" wrapText="1"/>
    </xf>
    <xf numFmtId="0" fontId="124" fillId="0" borderId="52" xfId="4496" applyFont="1" applyBorder="1" applyAlignment="1">
      <alignment horizontal="left" vertical="top" wrapText="1"/>
    </xf>
    <xf numFmtId="0" fontId="124" fillId="0" borderId="57" xfId="4496" applyFont="1" applyBorder="1" applyAlignment="1">
      <alignment horizontal="left" vertical="top" wrapText="1"/>
    </xf>
    <xf numFmtId="0" fontId="124" fillId="0" borderId="58" xfId="4496" applyFont="1" applyBorder="1" applyAlignment="1">
      <alignment horizontal="left" vertical="top" wrapText="1"/>
    </xf>
    <xf numFmtId="0" fontId="12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24" fillId="0" borderId="55" xfId="4496" applyNumberFormat="1" applyFont="1" applyBorder="1" applyAlignment="1">
      <alignment horizontal="center" vertical="top" wrapText="1"/>
    </xf>
    <xf numFmtId="165" fontId="124" fillId="0" borderId="6" xfId="4496" applyNumberFormat="1" applyFont="1" applyBorder="1" applyAlignment="1">
      <alignment horizontal="center" vertical="top" wrapText="1"/>
    </xf>
    <xf numFmtId="165" fontId="124" fillId="0" borderId="60" xfId="4496" applyNumberFormat="1" applyFont="1" applyBorder="1" applyAlignment="1">
      <alignment horizontal="center" vertical="top" wrapText="1"/>
    </xf>
    <xf numFmtId="165" fontId="124" fillId="0" borderId="4" xfId="4496" applyNumberFormat="1" applyFont="1" applyBorder="1" applyAlignment="1">
      <alignment horizontal="center" vertical="top" wrapText="1"/>
    </xf>
    <xf numFmtId="0" fontId="124" fillId="5" borderId="60" xfId="4496" applyFont="1" applyFill="1" applyBorder="1" applyAlignment="1" applyProtection="1">
      <alignment horizontal="center"/>
      <protection locked="0"/>
    </xf>
    <xf numFmtId="0" fontId="124" fillId="5" borderId="4" xfId="4496" applyFont="1" applyFill="1" applyBorder="1" applyAlignment="1" applyProtection="1">
      <alignment horizontal="center"/>
      <protection locked="0"/>
    </xf>
    <xf numFmtId="0" fontId="26" fillId="0" borderId="0" xfId="4495" applyFont="1" applyAlignment="1">
      <alignment horizontal="right"/>
    </xf>
    <xf numFmtId="0" fontId="124" fillId="0" borderId="53" xfId="4496" applyFont="1" applyBorder="1" applyAlignment="1">
      <alignment horizontal="left" vertical="top" wrapText="1"/>
    </xf>
    <xf numFmtId="0" fontId="124" fillId="0" borderId="0" xfId="4496" applyFont="1" applyAlignment="1">
      <alignment horizontal="left" vertical="top" wrapText="1"/>
    </xf>
    <xf numFmtId="0" fontId="124" fillId="0" borderId="54" xfId="4496" applyFont="1" applyBorder="1" applyAlignment="1">
      <alignment horizontal="left" vertical="top" wrapText="1"/>
    </xf>
    <xf numFmtId="0" fontId="124" fillId="5" borderId="55" xfId="4496" applyFont="1" applyFill="1" applyBorder="1" applyAlignment="1" applyProtection="1">
      <alignment horizontal="center"/>
      <protection locked="0"/>
    </xf>
    <xf numFmtId="168" fontId="124" fillId="0" borderId="55" xfId="4496" applyNumberFormat="1" applyFont="1" applyBorder="1" applyAlignment="1">
      <alignment horizontal="center" vertical="top"/>
    </xf>
    <xf numFmtId="168" fontId="12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24" fillId="0" borderId="3" xfId="4496" applyNumberFormat="1" applyFont="1" applyBorder="1" applyAlignment="1">
      <alignment horizontal="center" vertical="top" wrapText="1"/>
    </xf>
    <xf numFmtId="10" fontId="124" fillId="0" borderId="4" xfId="4496" applyNumberFormat="1" applyFont="1" applyBorder="1" applyAlignment="1">
      <alignment horizontal="center" vertical="top" wrapText="1"/>
    </xf>
    <xf numFmtId="10" fontId="124" fillId="0" borderId="5" xfId="4496" applyNumberFormat="1" applyFont="1" applyBorder="1" applyAlignment="1">
      <alignment horizontal="center" vertical="top" wrapText="1"/>
    </xf>
    <xf numFmtId="0" fontId="124" fillId="0" borderId="55" xfId="4496" applyFont="1" applyBorder="1" applyAlignment="1">
      <alignment horizontal="center" vertical="top" wrapText="1"/>
    </xf>
    <xf numFmtId="0" fontId="12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43" fillId="0" borderId="6" xfId="1192" applyFont="1" applyBorder="1" applyAlignment="1">
      <alignment horizontal="center"/>
    </xf>
    <xf numFmtId="1" fontId="124" fillId="0" borderId="55" xfId="4496" applyNumberFormat="1" applyFont="1" applyBorder="1" applyAlignment="1">
      <alignment horizontal="center" vertical="top" wrapText="1"/>
    </xf>
    <xf numFmtId="1" fontId="124" fillId="0" borderId="6" xfId="4496" applyNumberFormat="1" applyFont="1" applyBorder="1" applyAlignment="1">
      <alignment horizontal="center" vertical="top" wrapText="1"/>
    </xf>
    <xf numFmtId="168" fontId="124" fillId="43" borderId="55" xfId="4496" applyNumberFormat="1" applyFont="1" applyFill="1" applyBorder="1" applyAlignment="1" applyProtection="1">
      <alignment horizontal="center" vertical="top" wrapText="1"/>
      <protection locked="0"/>
    </xf>
    <xf numFmtId="168" fontId="12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55"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22" fillId="5" borderId="6" xfId="4495" applyFill="1" applyBorder="1" applyAlignment="1" applyProtection="1">
      <alignment horizontal="center"/>
      <protection locked="0"/>
    </xf>
    <xf numFmtId="0" fontId="26" fillId="0" borderId="0" xfId="4495" applyFont="1" applyAlignment="1">
      <alignment horizontal="left" vertical="top"/>
    </xf>
    <xf numFmtId="0" fontId="12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2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31" fillId="0" borderId="0" xfId="4495" applyFont="1" applyAlignment="1">
      <alignment horizontal="left" vertical="top" wrapText="1"/>
    </xf>
    <xf numFmtId="0" fontId="12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22" fillId="5" borderId="62" xfId="4495" applyFill="1" applyBorder="1" applyAlignment="1" applyProtection="1">
      <alignment horizontal="center"/>
      <protection locked="0"/>
    </xf>
    <xf numFmtId="0" fontId="122" fillId="5" borderId="63" xfId="4495" applyFill="1" applyBorder="1" applyAlignment="1" applyProtection="1">
      <alignment horizontal="center"/>
      <protection locked="0"/>
    </xf>
    <xf numFmtId="0" fontId="122" fillId="5" borderId="50" xfId="4495" applyFill="1" applyBorder="1" applyAlignment="1">
      <alignment horizontal="center"/>
    </xf>
    <xf numFmtId="0" fontId="122" fillId="5" borderId="51" xfId="4495" applyFill="1" applyBorder="1" applyAlignment="1">
      <alignment horizontal="center"/>
    </xf>
    <xf numFmtId="0" fontId="55" fillId="0" borderId="51" xfId="4495" applyFont="1" applyBorder="1" applyAlignment="1">
      <alignment horizontal="left" wrapText="1"/>
    </xf>
    <xf numFmtId="0" fontId="55" fillId="0" borderId="0" xfId="4495" applyFont="1" applyAlignment="1">
      <alignment horizontal="left" wrapText="1"/>
    </xf>
    <xf numFmtId="0" fontId="124" fillId="0" borderId="50" xfId="4496" applyFont="1" applyBorder="1" applyAlignment="1">
      <alignment horizontal="left" wrapText="1"/>
    </xf>
    <xf numFmtId="0" fontId="124" fillId="0" borderId="51" xfId="4496" applyFont="1" applyBorder="1" applyAlignment="1">
      <alignment horizontal="left" wrapText="1"/>
    </xf>
    <xf numFmtId="0" fontId="124" fillId="0" borderId="52" xfId="4496" applyFont="1" applyBorder="1" applyAlignment="1">
      <alignment horizontal="left" wrapText="1"/>
    </xf>
    <xf numFmtId="0" fontId="124" fillId="0" borderId="57" xfId="4496" applyFont="1" applyBorder="1" applyAlignment="1">
      <alignment horizontal="left" wrapText="1"/>
    </xf>
    <xf numFmtId="0" fontId="124" fillId="0" borderId="58" xfId="4496" applyFont="1" applyBorder="1" applyAlignment="1">
      <alignment horizontal="left" wrapText="1"/>
    </xf>
    <xf numFmtId="0" fontId="12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58" fillId="0" borderId="0" xfId="0" applyFont="1" applyAlignment="1" applyProtection="1">
      <alignment horizontal="left"/>
      <protection locked="0"/>
    </xf>
    <xf numFmtId="168" fontId="157" fillId="0" borderId="0" xfId="0" applyNumberFormat="1" applyFont="1" applyAlignment="1">
      <alignment horizontal="center" vertical="top" wrapText="1"/>
    </xf>
    <xf numFmtId="168" fontId="15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3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66" fillId="0" borderId="1" xfId="4495" applyNumberFormat="1" applyFont="1" applyBorder="1" applyAlignment="1">
      <alignment horizontal="right" vertical="center"/>
    </xf>
    <xf numFmtId="164" fontId="66" fillId="0" borderId="2" xfId="4495" applyNumberFormat="1" applyFont="1" applyBorder="1" applyAlignment="1">
      <alignment horizontal="right" vertical="center"/>
    </xf>
    <xf numFmtId="164" fontId="66" fillId="0" borderId="7" xfId="4495" applyNumberFormat="1" applyFont="1" applyBorder="1" applyAlignment="1">
      <alignment horizontal="right" vertical="center"/>
    </xf>
    <xf numFmtId="164" fontId="66" fillId="0" borderId="9" xfId="4495" applyNumberFormat="1" applyFont="1" applyBorder="1" applyAlignment="1">
      <alignment horizontal="right" vertical="center"/>
    </xf>
    <xf numFmtId="164" fontId="66" fillId="0" borderId="6" xfId="4495" applyNumberFormat="1" applyFont="1" applyBorder="1" applyAlignment="1">
      <alignment horizontal="right" vertical="center"/>
    </xf>
    <xf numFmtId="164" fontId="66" fillId="0" borderId="10" xfId="4495" applyNumberFormat="1" applyFont="1" applyBorder="1" applyAlignment="1">
      <alignment horizontal="right" vertical="center"/>
    </xf>
    <xf numFmtId="180" fontId="66" fillId="0" borderId="1" xfId="4495" applyNumberFormat="1" applyFont="1" applyBorder="1" applyAlignment="1">
      <alignment horizontal="center" vertical="center"/>
    </xf>
    <xf numFmtId="180" fontId="66" fillId="0" borderId="2" xfId="4495" applyNumberFormat="1" applyFont="1" applyBorder="1" applyAlignment="1">
      <alignment horizontal="center" vertical="center"/>
    </xf>
    <xf numFmtId="180" fontId="66" fillId="0" borderId="7" xfId="4495" applyNumberFormat="1" applyFont="1" applyBorder="1" applyAlignment="1">
      <alignment horizontal="center" vertical="center"/>
    </xf>
    <xf numFmtId="180" fontId="66" fillId="0" borderId="9" xfId="4495" applyNumberFormat="1" applyFont="1" applyBorder="1" applyAlignment="1">
      <alignment horizontal="center" vertical="center"/>
    </xf>
    <xf numFmtId="180" fontId="66" fillId="0" borderId="6" xfId="4495" applyNumberFormat="1" applyFont="1" applyBorder="1" applyAlignment="1">
      <alignment horizontal="center" vertical="center"/>
    </xf>
    <xf numFmtId="180" fontId="66" fillId="0" borderId="10" xfId="4495" applyNumberFormat="1" applyFont="1" applyBorder="1" applyAlignment="1">
      <alignment horizontal="center" vertical="center"/>
    </xf>
    <xf numFmtId="0" fontId="122" fillId="0" borderId="53" xfId="4495" applyBorder="1" applyAlignment="1">
      <alignment horizontal="center"/>
    </xf>
    <xf numFmtId="0" fontId="122" fillId="0" borderId="0" xfId="4495" applyAlignment="1">
      <alignment horizontal="center"/>
    </xf>
    <xf numFmtId="0" fontId="27" fillId="5" borderId="0" xfId="4495" applyFont="1" applyFill="1" applyAlignment="1">
      <alignment horizontal="left" vertical="top"/>
    </xf>
    <xf numFmtId="0" fontId="122" fillId="5" borderId="53" xfId="4495" applyFill="1" applyBorder="1" applyAlignment="1">
      <alignment horizontal="center"/>
    </xf>
    <xf numFmtId="0" fontId="122" fillId="5" borderId="0" xfId="4495" applyFill="1" applyAlignment="1">
      <alignment horizontal="center"/>
    </xf>
    <xf numFmtId="0" fontId="122" fillId="5" borderId="55" xfId="4495" applyFill="1" applyBorder="1" applyAlignment="1">
      <alignment horizontal="center"/>
    </xf>
    <xf numFmtId="0" fontId="12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55" fillId="0" borderId="51" xfId="4495" applyFont="1" applyBorder="1" applyAlignment="1">
      <alignment horizontal="left" vertical="top" wrapText="1"/>
    </xf>
    <xf numFmtId="0" fontId="55"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24" fillId="0" borderId="3" xfId="4496" applyNumberFormat="1" applyFont="1" applyBorder="1" applyAlignment="1">
      <alignment horizontal="center" vertical="top" wrapText="1"/>
    </xf>
    <xf numFmtId="165" fontId="12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4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20" fillId="0" borderId="4" xfId="1192" applyFont="1" applyBorder="1" applyAlignment="1">
      <alignment horizontal="left"/>
    </xf>
    <xf numFmtId="0" fontId="122" fillId="5" borderId="62" xfId="4495" applyFill="1" applyBorder="1" applyAlignment="1">
      <alignment horizontal="center"/>
    </xf>
    <xf numFmtId="0" fontId="122" fillId="5" borderId="63" xfId="4495" applyFill="1" applyBorder="1" applyAlignment="1">
      <alignment horizontal="center"/>
    </xf>
    <xf numFmtId="0" fontId="100" fillId="0" borderId="3" xfId="4496" applyFont="1" applyBorder="1"/>
    <xf numFmtId="0" fontId="100" fillId="0" borderId="81" xfId="4496" applyFont="1" applyBorder="1"/>
    <xf numFmtId="0" fontId="100" fillId="0" borderId="94" xfId="4496" applyFont="1" applyBorder="1"/>
    <xf numFmtId="0" fontId="100" fillId="0" borderId="85" xfId="4496" applyFont="1" applyBorder="1"/>
    <xf numFmtId="49" fontId="100" fillId="45" borderId="15" xfId="4496" applyNumberFormat="1" applyFont="1" applyFill="1" applyBorder="1" applyAlignment="1">
      <alignment horizontal="center" vertical="center" wrapText="1"/>
    </xf>
    <xf numFmtId="49" fontId="100" fillId="45" borderId="13" xfId="4496" applyNumberFormat="1" applyFont="1" applyFill="1" applyBorder="1" applyAlignment="1">
      <alignment horizontal="center" vertical="center" wrapText="1"/>
    </xf>
    <xf numFmtId="0" fontId="100" fillId="0" borderId="93" xfId="4496" applyFont="1" applyBorder="1" applyAlignment="1">
      <alignment horizontal="right"/>
    </xf>
    <xf numFmtId="0" fontId="100" fillId="0" borderId="74" xfId="4496" applyFont="1" applyBorder="1" applyAlignment="1">
      <alignment horizontal="right"/>
    </xf>
    <xf numFmtId="0" fontId="100" fillId="0" borderId="75" xfId="4496" applyFont="1" applyBorder="1"/>
    <xf numFmtId="0" fontId="100" fillId="0" borderId="91" xfId="4496" applyFont="1" applyBorder="1"/>
    <xf numFmtId="0" fontId="100" fillId="0" borderId="90" xfId="4496" applyFont="1" applyBorder="1" applyAlignment="1">
      <alignment horizontal="right"/>
    </xf>
    <xf numFmtId="0" fontId="100" fillId="0" borderId="5" xfId="4496" applyFont="1" applyBorder="1" applyAlignment="1">
      <alignment horizontal="right"/>
    </xf>
    <xf numFmtId="0" fontId="100" fillId="0" borderId="69" xfId="4496" applyFont="1" applyBorder="1" applyAlignment="1">
      <alignment horizontal="right"/>
    </xf>
    <xf numFmtId="0" fontId="100" fillId="0" borderId="70" xfId="4496" applyFont="1" applyBorder="1" applyAlignment="1">
      <alignment horizontal="right"/>
    </xf>
    <xf numFmtId="168" fontId="100" fillId="0" borderId="11" xfId="4499" applyNumberFormat="1" applyFont="1" applyFill="1" applyBorder="1" applyAlignment="1" applyProtection="1">
      <alignment horizontal="left" vertical="center" indent="1"/>
    </xf>
    <xf numFmtId="0" fontId="138" fillId="0" borderId="68" xfId="4496" applyFont="1" applyBorder="1" applyAlignment="1">
      <alignment horizontal="left" indent="1"/>
    </xf>
    <xf numFmtId="168" fontId="100" fillId="0" borderId="70" xfId="4499" applyNumberFormat="1" applyFont="1" applyFill="1" applyBorder="1" applyAlignment="1" applyProtection="1">
      <alignment horizontal="left" vertical="center" indent="1"/>
    </xf>
    <xf numFmtId="49" fontId="137" fillId="3" borderId="0" xfId="1192" applyNumberFormat="1" applyFont="1" applyFill="1" applyAlignment="1">
      <alignment horizontal="center" vertical="center"/>
    </xf>
    <xf numFmtId="0" fontId="100" fillId="0" borderId="11" xfId="4496" applyFont="1" applyBorder="1" applyAlignment="1">
      <alignment horizontal="left" indent="1"/>
    </xf>
    <xf numFmtId="0" fontId="100" fillId="0" borderId="11" xfId="4496" applyFont="1" applyBorder="1" applyAlignment="1">
      <alignment horizontal="left" indent="2"/>
    </xf>
    <xf numFmtId="0" fontId="138" fillId="45" borderId="3" xfId="4496" applyFont="1" applyFill="1" applyBorder="1" applyAlignment="1">
      <alignment horizontal="center" vertical="center"/>
    </xf>
    <xf numFmtId="0" fontId="138" fillId="45" borderId="4" xfId="4496" applyFont="1" applyFill="1" applyBorder="1" applyAlignment="1">
      <alignment horizontal="center" vertical="center"/>
    </xf>
    <xf numFmtId="0" fontId="138" fillId="45" borderId="5" xfId="4496" applyFont="1" applyFill="1" applyBorder="1" applyAlignment="1">
      <alignment horizontal="center" vertical="center"/>
    </xf>
    <xf numFmtId="9" fontId="138" fillId="45" borderId="3" xfId="4499" applyFont="1" applyFill="1" applyBorder="1" applyAlignment="1" applyProtection="1">
      <alignment horizontal="center" vertical="center"/>
    </xf>
    <xf numFmtId="9" fontId="138" fillId="45" borderId="4" xfId="4499" applyFont="1" applyFill="1" applyBorder="1" applyAlignment="1" applyProtection="1">
      <alignment horizontal="center" vertical="center"/>
    </xf>
    <xf numFmtId="9" fontId="138" fillId="45" borderId="5" xfId="4499" applyFont="1" applyFill="1" applyBorder="1" applyAlignment="1" applyProtection="1">
      <alignment horizontal="center" vertical="center"/>
    </xf>
    <xf numFmtId="168" fontId="100" fillId="0" borderId="13" xfId="4499" applyNumberFormat="1" applyFont="1" applyFill="1" applyBorder="1" applyAlignment="1" applyProtection="1">
      <alignment horizontal="left" vertical="center" indent="1"/>
    </xf>
    <xf numFmtId="0" fontId="100" fillId="0" borderId="3" xfId="4496" applyFont="1" applyBorder="1" applyAlignment="1">
      <alignment horizontal="left" indent="1"/>
    </xf>
    <xf numFmtId="0" fontId="100" fillId="0" borderId="4" xfId="4496" applyFont="1" applyBorder="1" applyAlignment="1">
      <alignment horizontal="left" indent="1"/>
    </xf>
    <xf numFmtId="0" fontId="100" fillId="0" borderId="5" xfId="4496" applyFont="1" applyBorder="1" applyAlignment="1">
      <alignment horizontal="left" indent="1"/>
    </xf>
    <xf numFmtId="0" fontId="100" fillId="0" borderId="3" xfId="4496" applyFont="1" applyBorder="1" applyAlignment="1">
      <alignment horizontal="left" indent="2"/>
    </xf>
    <xf numFmtId="0" fontId="100" fillId="0" borderId="4" xfId="4496" applyFont="1" applyBorder="1" applyAlignment="1">
      <alignment horizontal="left" indent="2"/>
    </xf>
    <xf numFmtId="0" fontId="100" fillId="0" borderId="5" xfId="4496" applyFont="1" applyBorder="1" applyAlignment="1">
      <alignment horizontal="left" indent="2"/>
    </xf>
    <xf numFmtId="0" fontId="100" fillId="0" borderId="0" xfId="4496" applyFont="1" applyAlignment="1">
      <alignment wrapText="1"/>
    </xf>
    <xf numFmtId="0" fontId="138" fillId="0" borderId="75" xfId="4496" applyFont="1" applyBorder="1" applyAlignment="1">
      <alignment horizontal="center" vertical="top" wrapText="1"/>
    </xf>
    <xf numFmtId="0" fontId="138" fillId="0" borderId="74" xfId="4496" applyFont="1" applyBorder="1" applyAlignment="1">
      <alignment horizontal="center" vertical="top" wrapText="1"/>
    </xf>
    <xf numFmtId="0" fontId="100" fillId="0" borderId="0" xfId="4496" applyFont="1" applyAlignment="1">
      <alignment horizontal="left" wrapText="1"/>
    </xf>
    <xf numFmtId="0" fontId="100" fillId="0" borderId="0" xfId="4496" applyFont="1" applyAlignment="1">
      <alignment horizontal="center" vertical="center" wrapText="1"/>
    </xf>
    <xf numFmtId="0" fontId="100" fillId="43" borderId="0" xfId="4496" applyFont="1" applyFill="1" applyAlignment="1" applyProtection="1">
      <alignment horizontal="left" vertical="top" wrapText="1"/>
      <protection locked="0"/>
    </xf>
    <xf numFmtId="0" fontId="100" fillId="43" borderId="6" xfId="4496" applyFont="1" applyFill="1" applyBorder="1" applyAlignment="1" applyProtection="1">
      <alignment horizontal="left" vertical="top" wrapText="1"/>
      <protection locked="0"/>
    </xf>
    <xf numFmtId="0" fontId="10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3" fontId="28" fillId="0" borderId="0" xfId="0" applyNumberFormat="1" applyFont="1" applyAlignment="1">
      <alignment horizontal="left" vertical="top" wrapText="1"/>
    </xf>
    <xf numFmtId="0" fontId="19" fillId="43" borderId="0" xfId="0" applyFont="1" applyFill="1" applyAlignment="1">
      <alignment horizontal="left"/>
    </xf>
  </cellXfs>
  <cellStyles count="18060">
    <cellStyle name="20% - Accent1" xfId="1" builtinId="30" customBuiltin="1"/>
    <cellStyle name="20% - Accent1 10" xfId="4504" xr:uid="{00000000-0005-0000-0000-000001000000}"/>
    <cellStyle name="20% - Accent1 10 2" xfId="13830" xr:uid="{1D4C4B53-73E1-4ED0-90A6-AE6469F935C0}"/>
    <cellStyle name="20% - Accent1 11" xfId="8758" xr:uid="{2F735C8D-70CB-4E84-A95A-4445894745BC}"/>
    <cellStyle name="20% - Accent1 12" xfId="9613" xr:uid="{2BD8C22C-2186-40A4-9E3B-9416DDA142DE}"/>
    <cellStyle name="20% - Accent1 2" xfId="2" xr:uid="{00000000-0005-0000-0000-000002000000}"/>
    <cellStyle name="20% - Accent1 2 10" xfId="8797" xr:uid="{7F4BEAE6-CC35-4B07-89BD-8FC5D6B3D35B}"/>
    <cellStyle name="20% - Accent1 2 11" xfId="9614" xr:uid="{2022EBF6-357D-40D1-8E95-A5D85E6728E7}"/>
    <cellStyle name="20% - Accent1 2 2" xfId="3" xr:uid="{00000000-0005-0000-0000-000003000000}"/>
    <cellStyle name="20% - Accent1 2 2 10" xfId="9615" xr:uid="{BF090F2B-94B5-4B92-8104-AEC9FD8080D6}"/>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3BAEE861-4EE6-43E9-997B-93D58AB39ED9}"/>
    <cellStyle name="20% - Accent1 2 2 2 2 2 3" xfId="12175" xr:uid="{28DEDE3F-5172-4DAA-974B-CC188A197286}"/>
    <cellStyle name="20% - Accent1 2 2 2 2 3" xfId="4921" xr:uid="{00000000-0005-0000-0000-000008000000}"/>
    <cellStyle name="20% - Accent1 2 2 2 2 3 2" xfId="14247" xr:uid="{7A736464-DA6C-4C58-867F-921E924164FF}"/>
    <cellStyle name="20% - Accent1 2 2 2 2 4" xfId="9532" xr:uid="{D5FAB462-C5A9-4306-AA37-C118C84F9393}"/>
    <cellStyle name="20% - Accent1 2 2 2 2 5" xfId="10030" xr:uid="{E2FB83B1-8566-4A46-805A-95211E2931C9}"/>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ED324C94-BDCD-41EB-B4FA-DAB3C3127053}"/>
    <cellStyle name="20% - Accent1 2 2 2 3 2 3" xfId="12588" xr:uid="{117E3D4A-10F9-4BB8-BDAD-E8F635E7E198}"/>
    <cellStyle name="20% - Accent1 2 2 2 3 3" xfId="5334" xr:uid="{00000000-0005-0000-0000-00000C000000}"/>
    <cellStyle name="20% - Accent1 2 2 2 3 3 2" xfId="14660" xr:uid="{2F800036-BFF9-4C63-8D4F-73896E7D7307}"/>
    <cellStyle name="20% - Accent1 2 2 2 3 4" xfId="10443" xr:uid="{E5B6E0A8-9328-47A0-9414-C5DE1558D50C}"/>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F425F2FD-BA1D-433A-943C-400E925DA12D}"/>
    <cellStyle name="20% - Accent1 2 2 2 4 2 3" xfId="13001" xr:uid="{416CFCB1-5ECA-4AA2-B79F-D0E308F76162}"/>
    <cellStyle name="20% - Accent1 2 2 2 4 3" xfId="5747" xr:uid="{00000000-0005-0000-0000-000010000000}"/>
    <cellStyle name="20% - Accent1 2 2 2 4 3 2" xfId="15073" xr:uid="{3A1A6489-0E0C-4214-905A-3C4AA33AAE50}"/>
    <cellStyle name="20% - Accent1 2 2 2 4 4" xfId="10856" xr:uid="{1DF002CB-16FE-42BC-8F73-0F4E3AAC581E}"/>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24CA8375-CEB8-441C-9DEF-54706FCD0725}"/>
    <cellStyle name="20% - Accent1 2 2 2 5 2 3" xfId="13414" xr:uid="{740C90F6-891B-421A-A69B-97DED9574644}"/>
    <cellStyle name="20% - Accent1 2 2 2 5 3" xfId="6160" xr:uid="{00000000-0005-0000-0000-000014000000}"/>
    <cellStyle name="20% - Accent1 2 2 2 5 3 2" xfId="15486" xr:uid="{1B455922-952A-4CA5-A38E-AD4BEF06627A}"/>
    <cellStyle name="20% - Accent1 2 2 2 5 4" xfId="11269" xr:uid="{4B88B437-6F66-4B4D-B4F8-06BE708B8053}"/>
    <cellStyle name="20% - Accent1 2 2 2 6" xfId="2267" xr:uid="{00000000-0005-0000-0000-000015000000}"/>
    <cellStyle name="20% - Accent1 2 2 2 6 2" xfId="6573" xr:uid="{00000000-0005-0000-0000-000016000000}"/>
    <cellStyle name="20% - Accent1 2 2 2 6 2 2" xfId="15899" xr:uid="{807D8052-EB91-46E8-AA7C-394321B45FB0}"/>
    <cellStyle name="20% - Accent1 2 2 2 6 3" xfId="11682" xr:uid="{D142EDFA-2C0F-4BD0-9E1A-3FD41AD1BF67}"/>
    <cellStyle name="20% - Accent1 2 2 2 7" xfId="4507" xr:uid="{00000000-0005-0000-0000-000017000000}"/>
    <cellStyle name="20% - Accent1 2 2 2 7 2" xfId="13833" xr:uid="{2051C305-A264-447C-AD7B-F9BFCF97D892}"/>
    <cellStyle name="20% - Accent1 2 2 2 8" xfId="9107" xr:uid="{4168D01E-823F-4E8F-9A1D-70697AC1F241}"/>
    <cellStyle name="20% - Accent1 2 2 2 9" xfId="9616" xr:uid="{BE4521D5-61DE-42CF-9173-81872AAA6D4D}"/>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FE4E5A14-BD19-4097-B116-F968ABBF0D05}"/>
    <cellStyle name="20% - Accent1 2 2 3 2 3" xfId="12174" xr:uid="{2050FD88-198C-4B55-A06B-57F5DB05129B}"/>
    <cellStyle name="20% - Accent1 2 2 3 3" xfId="4920" xr:uid="{00000000-0005-0000-0000-00001B000000}"/>
    <cellStyle name="20% - Accent1 2 2 3 3 2" xfId="14246" xr:uid="{95E37DCF-3A15-4BF9-BAB7-98E431F92418}"/>
    <cellStyle name="20% - Accent1 2 2 3 4" xfId="9325" xr:uid="{DE19910B-698B-4F31-B25F-3533B35DDA95}"/>
    <cellStyle name="20% - Accent1 2 2 3 5" xfId="10029" xr:uid="{CC4ECED7-33FE-4BBE-9482-EF524E526B6D}"/>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12BE3C98-3D95-43B4-B721-58AD44A7A8E0}"/>
    <cellStyle name="20% - Accent1 2 2 4 2 3" xfId="12587" xr:uid="{16F12631-776C-4EAC-A73E-4D1CF017FA9A}"/>
    <cellStyle name="20% - Accent1 2 2 4 3" xfId="5333" xr:uid="{00000000-0005-0000-0000-00001F000000}"/>
    <cellStyle name="20% - Accent1 2 2 4 3 2" xfId="14659" xr:uid="{B7A40185-23E8-4A86-9918-F92B8B230564}"/>
    <cellStyle name="20% - Accent1 2 2 4 4" xfId="10442" xr:uid="{D3685290-E2CE-4B22-AE4B-9B728CB066B1}"/>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6AE9F699-7AF0-43BA-9A83-9C6EC9F458A1}"/>
    <cellStyle name="20% - Accent1 2 2 5 2 3" xfId="13000" xr:uid="{DAD14556-249E-49A6-8666-F5DB41CEAF91}"/>
    <cellStyle name="20% - Accent1 2 2 5 3" xfId="5746" xr:uid="{00000000-0005-0000-0000-000023000000}"/>
    <cellStyle name="20% - Accent1 2 2 5 3 2" xfId="15072" xr:uid="{7FA4C306-64C2-42BE-8E23-EB937A771B09}"/>
    <cellStyle name="20% - Accent1 2 2 5 4" xfId="10855" xr:uid="{B395FF3B-E248-406B-9906-666378BDB33C}"/>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C5645E57-1BA9-46F6-8A86-B816A193836C}"/>
    <cellStyle name="20% - Accent1 2 2 6 2 3" xfId="13413" xr:uid="{A70BD9C5-AC5A-4A09-9BA5-1D59A451A8B5}"/>
    <cellStyle name="20% - Accent1 2 2 6 3" xfId="6159" xr:uid="{00000000-0005-0000-0000-000027000000}"/>
    <cellStyle name="20% - Accent1 2 2 6 3 2" xfId="15485" xr:uid="{C3D4849E-38C1-4322-BBDC-721D4878AC84}"/>
    <cellStyle name="20% - Accent1 2 2 6 4" xfId="11268" xr:uid="{37E9689B-6700-4643-BA86-456225485B05}"/>
    <cellStyle name="20% - Accent1 2 2 7" xfId="2266" xr:uid="{00000000-0005-0000-0000-000028000000}"/>
    <cellStyle name="20% - Accent1 2 2 7 2" xfId="6572" xr:uid="{00000000-0005-0000-0000-000029000000}"/>
    <cellStyle name="20% - Accent1 2 2 7 2 2" xfId="15898" xr:uid="{604F9EFF-B9A8-4BEA-B097-D448B41ECEAF}"/>
    <cellStyle name="20% - Accent1 2 2 7 3" xfId="11681" xr:uid="{0E35DF0D-568A-4D40-9314-08146C1379A2}"/>
    <cellStyle name="20% - Accent1 2 2 8" xfId="4506" xr:uid="{00000000-0005-0000-0000-00002A000000}"/>
    <cellStyle name="20% - Accent1 2 2 8 2" xfId="13832" xr:uid="{2809FA56-6EC0-47D0-BFF1-E06EE167B1F6}"/>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015D8F7C-5F7E-43C7-883B-CF29C0B8D4B4}"/>
    <cellStyle name="20% - Accent1 2 3 2 2 3" xfId="12176" xr:uid="{ED835A97-5A24-4B05-AF53-03390FBF3B5D}"/>
    <cellStyle name="20% - Accent1 2 3 2 3" xfId="4922" xr:uid="{00000000-0005-0000-0000-00002F000000}"/>
    <cellStyle name="20% - Accent1 2 3 2 3 2" xfId="14248" xr:uid="{17011E83-6101-4F7A-8ABB-37845732A9A8}"/>
    <cellStyle name="20% - Accent1 2 3 2 4" xfId="9429" xr:uid="{CCD4BD61-3143-497B-A316-8024A8762A6C}"/>
    <cellStyle name="20% - Accent1 2 3 2 5" xfId="10031" xr:uid="{F5D02029-9BAE-47AA-87E4-6187545919A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F054721D-27B0-4466-AC6C-3EFBA18B3829}"/>
    <cellStyle name="20% - Accent1 2 3 3 2 3" xfId="12589" xr:uid="{967A9851-0155-4C92-8BF4-97FBD8D135C5}"/>
    <cellStyle name="20% - Accent1 2 3 3 3" xfId="5335" xr:uid="{00000000-0005-0000-0000-000033000000}"/>
    <cellStyle name="20% - Accent1 2 3 3 3 2" xfId="14661" xr:uid="{009DEA60-C20E-4521-9481-611D960BFC65}"/>
    <cellStyle name="20% - Accent1 2 3 3 4" xfId="10444" xr:uid="{5012A58F-B373-4811-814D-0BB43DC863C4}"/>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0D73BCC1-99E3-4FC2-B059-115A49CC734D}"/>
    <cellStyle name="20% - Accent1 2 3 4 2 3" xfId="13002" xr:uid="{797D0755-6486-4AE6-A892-CB96CB735C2C}"/>
    <cellStyle name="20% - Accent1 2 3 4 3" xfId="5748" xr:uid="{00000000-0005-0000-0000-000037000000}"/>
    <cellStyle name="20% - Accent1 2 3 4 3 2" xfId="15074" xr:uid="{5DC4467E-B2C7-4919-9BAF-6A9D67330C1D}"/>
    <cellStyle name="20% - Accent1 2 3 4 4" xfId="10857" xr:uid="{89E949CE-57B8-4FED-B486-895E429201C3}"/>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E3B2AD4B-7016-4705-A299-9487D20B0A33}"/>
    <cellStyle name="20% - Accent1 2 3 5 2 3" xfId="13415" xr:uid="{D5D1D4FE-17C4-4EEC-9398-C2CBE56BFFAC}"/>
    <cellStyle name="20% - Accent1 2 3 5 3" xfId="6161" xr:uid="{00000000-0005-0000-0000-00003B000000}"/>
    <cellStyle name="20% - Accent1 2 3 5 3 2" xfId="15487" xr:uid="{2262A1A4-408D-49DA-A477-97AC754E57F4}"/>
    <cellStyle name="20% - Accent1 2 3 5 4" xfId="11270" xr:uid="{38ABCCD8-DEE3-41A3-882F-37ACEF3B0A88}"/>
    <cellStyle name="20% - Accent1 2 3 6" xfId="2268" xr:uid="{00000000-0005-0000-0000-00003C000000}"/>
    <cellStyle name="20% - Accent1 2 3 6 2" xfId="6574" xr:uid="{00000000-0005-0000-0000-00003D000000}"/>
    <cellStyle name="20% - Accent1 2 3 6 2 2" xfId="15900" xr:uid="{25561BEC-20F7-489A-8A3E-70F97C71BA66}"/>
    <cellStyle name="20% - Accent1 2 3 6 3" xfId="11683" xr:uid="{3FE0D796-2518-4F8C-9C62-1862A0F4E8C1}"/>
    <cellStyle name="20% - Accent1 2 3 7" xfId="4508" xr:uid="{00000000-0005-0000-0000-00003E000000}"/>
    <cellStyle name="20% - Accent1 2 3 7 2" xfId="13834" xr:uid="{E7B08286-01DC-43A0-B002-680D028D341D}"/>
    <cellStyle name="20% - Accent1 2 3 8" xfId="9004" xr:uid="{14A9C135-BB7B-44DD-97E1-B6B10773DEE2}"/>
    <cellStyle name="20% - Accent1 2 3 9" xfId="9617" xr:uid="{2943C8EC-358D-42F1-BCE0-AD8734D70DC3}"/>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92834E0A-6463-490A-941F-64F268ECDF04}"/>
    <cellStyle name="20% - Accent1 2 4 2 3" xfId="12173" xr:uid="{88D20B5B-A633-4F5F-B0AE-2833C6D2F660}"/>
    <cellStyle name="20% - Accent1 2 4 3" xfId="4919" xr:uid="{00000000-0005-0000-0000-000042000000}"/>
    <cellStyle name="20% - Accent1 2 4 3 2" xfId="14245" xr:uid="{04C7AA03-0771-47D1-B858-5F993E108EA9}"/>
    <cellStyle name="20% - Accent1 2 4 4" xfId="9221" xr:uid="{11532E3F-E59C-4FF7-9F45-291A17A69435}"/>
    <cellStyle name="20% - Accent1 2 4 5" xfId="10028" xr:uid="{121CFFD5-33C8-4BBA-AF9F-52361401FF20}"/>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07B81FB7-7581-4EFD-A7C7-4D7CE897488E}"/>
    <cellStyle name="20% - Accent1 2 5 2 3" xfId="12586" xr:uid="{6B33D6EA-6DFE-425F-B5B6-F8FEA16C5BB1}"/>
    <cellStyle name="20% - Accent1 2 5 3" xfId="5332" xr:uid="{00000000-0005-0000-0000-000046000000}"/>
    <cellStyle name="20% - Accent1 2 5 3 2" xfId="14658" xr:uid="{56E1F68A-D336-4FAD-94B1-64324CF5EBEE}"/>
    <cellStyle name="20% - Accent1 2 5 4" xfId="10441" xr:uid="{C5D44FE3-CD26-4C32-9DE8-2605FCD874D8}"/>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7414A20B-DA92-4C12-94AA-5127064E61E7}"/>
    <cellStyle name="20% - Accent1 2 6 2 3" xfId="12999" xr:uid="{1C9D9756-2E28-4EC5-9283-ACF48E29279E}"/>
    <cellStyle name="20% - Accent1 2 6 3" xfId="5745" xr:uid="{00000000-0005-0000-0000-00004A000000}"/>
    <cellStyle name="20% - Accent1 2 6 3 2" xfId="15071" xr:uid="{A239D384-776A-4CF4-96FC-E1D6055B0333}"/>
    <cellStyle name="20% - Accent1 2 6 4" xfId="10854" xr:uid="{0A0C0235-2045-4364-9B77-896BE8FD84BA}"/>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BCF75711-A9F7-4816-A72A-2D09DE234E8D}"/>
    <cellStyle name="20% - Accent1 2 7 2 3" xfId="13412" xr:uid="{5EA2C701-D4C0-486A-A577-5A2D372B4B19}"/>
    <cellStyle name="20% - Accent1 2 7 3" xfId="6158" xr:uid="{00000000-0005-0000-0000-00004E000000}"/>
    <cellStyle name="20% - Accent1 2 7 3 2" xfId="15484" xr:uid="{5C392CC1-1BB4-4F92-9FA5-EAF65C9045C2}"/>
    <cellStyle name="20% - Accent1 2 7 4" xfId="11267" xr:uid="{DD98065E-6E9C-4DB7-8F8B-3EA42C64B4AA}"/>
    <cellStyle name="20% - Accent1 2 8" xfId="2265" xr:uid="{00000000-0005-0000-0000-00004F000000}"/>
    <cellStyle name="20% - Accent1 2 8 2" xfId="6571" xr:uid="{00000000-0005-0000-0000-000050000000}"/>
    <cellStyle name="20% - Accent1 2 8 2 2" xfId="15897" xr:uid="{E98FE19F-D249-43DB-9578-C2E55C7A3F80}"/>
    <cellStyle name="20% - Accent1 2 8 3" xfId="11680" xr:uid="{FBBAC836-7D03-4E58-8B56-9B54EC5F2433}"/>
    <cellStyle name="20% - Accent1 2 9" xfId="4505" xr:uid="{00000000-0005-0000-0000-000051000000}"/>
    <cellStyle name="20% - Accent1 2 9 2" xfId="13831" xr:uid="{ACB6635C-DFFB-4259-A9FF-18A34AC1C179}"/>
    <cellStyle name="20% - Accent1 3" xfId="6" xr:uid="{00000000-0005-0000-0000-000052000000}"/>
    <cellStyle name="20% - Accent1 3 10" xfId="9618" xr:uid="{AAB1EA01-AE52-4E18-A21F-D6E255D694F6}"/>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15895405-6C2C-4CAE-9048-D959FA1E9536}"/>
    <cellStyle name="20% - Accent1 3 2 2 2 3" xfId="12178" xr:uid="{BDA20E8C-AFD9-4957-A456-940C3890DA33}"/>
    <cellStyle name="20% - Accent1 3 2 2 3" xfId="4924" xr:uid="{00000000-0005-0000-0000-000057000000}"/>
    <cellStyle name="20% - Accent1 3 2 2 3 2" xfId="14250" xr:uid="{0CAF42BE-1302-4625-A379-6B25C69F87BE}"/>
    <cellStyle name="20% - Accent1 3 2 2 4" xfId="9493" xr:uid="{FCEFE71D-2A04-4899-B62A-B225DBF7F0BF}"/>
    <cellStyle name="20% - Accent1 3 2 2 5" xfId="10033" xr:uid="{2C1ED8E8-CADE-4CDA-9345-3C689A824B1A}"/>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3A2E8624-E850-4644-B50C-499FDABF9C7D}"/>
    <cellStyle name="20% - Accent1 3 2 3 2 3" xfId="12591" xr:uid="{C37599A9-75C4-41FE-A8F7-404285FDEA6B}"/>
    <cellStyle name="20% - Accent1 3 2 3 3" xfId="5337" xr:uid="{00000000-0005-0000-0000-00005B000000}"/>
    <cellStyle name="20% - Accent1 3 2 3 3 2" xfId="14663" xr:uid="{CBE37CF0-531A-47E8-A53F-410092E7D384}"/>
    <cellStyle name="20% - Accent1 3 2 3 4" xfId="10446" xr:uid="{21D3AEFF-FAB3-42C3-9316-B85DB74CBAEC}"/>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A43A599B-DAFB-4588-8172-4FFE8603DA24}"/>
    <cellStyle name="20% - Accent1 3 2 4 2 3" xfId="13004" xr:uid="{0DC5072C-3810-405C-8EF5-B38F9FB449F8}"/>
    <cellStyle name="20% - Accent1 3 2 4 3" xfId="5750" xr:uid="{00000000-0005-0000-0000-00005F000000}"/>
    <cellStyle name="20% - Accent1 3 2 4 3 2" xfId="15076" xr:uid="{BECA735A-208D-4283-BDD4-7B41706D8923}"/>
    <cellStyle name="20% - Accent1 3 2 4 4" xfId="10859" xr:uid="{84D72DC8-AEB3-4726-85FF-3604C73BFAE6}"/>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D85C4BF7-BDAE-4D25-BF6F-48D6F7830E8B}"/>
    <cellStyle name="20% - Accent1 3 2 5 2 3" xfId="13417" xr:uid="{2DB0E1A4-11B8-418F-9B2D-0E2D0D30F498}"/>
    <cellStyle name="20% - Accent1 3 2 5 3" xfId="6163" xr:uid="{00000000-0005-0000-0000-000063000000}"/>
    <cellStyle name="20% - Accent1 3 2 5 3 2" xfId="15489" xr:uid="{0F27F69D-107B-4C50-9FC9-09446E16FB7E}"/>
    <cellStyle name="20% - Accent1 3 2 5 4" xfId="11272" xr:uid="{E129B5ED-B6C0-4575-8CA7-4AE39F4E689D}"/>
    <cellStyle name="20% - Accent1 3 2 6" xfId="2270" xr:uid="{00000000-0005-0000-0000-000064000000}"/>
    <cellStyle name="20% - Accent1 3 2 6 2" xfId="6576" xr:uid="{00000000-0005-0000-0000-000065000000}"/>
    <cellStyle name="20% - Accent1 3 2 6 2 2" xfId="15902" xr:uid="{87C492B6-9984-442B-B4BA-B4596C610AB7}"/>
    <cellStyle name="20% - Accent1 3 2 6 3" xfId="11685" xr:uid="{58FD2455-F558-450A-B6A0-ED4FEE5F5D24}"/>
    <cellStyle name="20% - Accent1 3 2 7" xfId="4510" xr:uid="{00000000-0005-0000-0000-000066000000}"/>
    <cellStyle name="20% - Accent1 3 2 7 2" xfId="13836" xr:uid="{8A499EC0-8951-4096-8833-F407BCB8EAD2}"/>
    <cellStyle name="20% - Accent1 3 2 8" xfId="9068" xr:uid="{354460C9-AD38-4FCD-882B-4DFB81DE5890}"/>
    <cellStyle name="20% - Accent1 3 2 9" xfId="9619" xr:uid="{FEC5CEAA-2425-4486-9DBE-BAD92BC82B00}"/>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13E441CC-6C09-4DF3-961B-88399989155B}"/>
    <cellStyle name="20% - Accent1 3 3 2 3" xfId="12177" xr:uid="{0AA31ABB-4BB3-4328-8001-707BCD02F722}"/>
    <cellStyle name="20% - Accent1 3 3 3" xfId="4923" xr:uid="{00000000-0005-0000-0000-00006A000000}"/>
    <cellStyle name="20% - Accent1 3 3 3 2" xfId="14249" xr:uid="{C36A889B-567A-454A-812E-0FE13EF5A87C}"/>
    <cellStyle name="20% - Accent1 3 3 4" xfId="9286" xr:uid="{B5220C4B-EBE7-4AD0-9A24-7F16FA378184}"/>
    <cellStyle name="20% - Accent1 3 3 5" xfId="10032" xr:uid="{B5EFA4E6-27CA-4382-95AC-A722AF6FA264}"/>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6AA78BF3-A1BF-488A-BABE-B592E0A8DEDC}"/>
    <cellStyle name="20% - Accent1 3 4 2 3" xfId="12590" xr:uid="{1FDAEA2C-3BCE-48CD-8B99-0DD91BCA1075}"/>
    <cellStyle name="20% - Accent1 3 4 3" xfId="5336" xr:uid="{00000000-0005-0000-0000-00006E000000}"/>
    <cellStyle name="20% - Accent1 3 4 3 2" xfId="14662" xr:uid="{8CA982FC-9348-4D4A-BAAE-42D69A7C4CA8}"/>
    <cellStyle name="20% - Accent1 3 4 4" xfId="10445" xr:uid="{D1509936-CE64-44BD-BE58-348FDC0E6A1F}"/>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89423E7C-18BE-4E48-9447-D63525A71296}"/>
    <cellStyle name="20% - Accent1 3 5 2 3" xfId="13003" xr:uid="{F4E6409C-DA20-474D-8D26-C64C04941AED}"/>
    <cellStyle name="20% - Accent1 3 5 3" xfId="5749" xr:uid="{00000000-0005-0000-0000-000072000000}"/>
    <cellStyle name="20% - Accent1 3 5 3 2" xfId="15075" xr:uid="{05DDDDC2-A872-4BC3-B9F4-DEC8EE98A31A}"/>
    <cellStyle name="20% - Accent1 3 5 4" xfId="10858" xr:uid="{A68A2482-3C25-4953-BB63-DCFC75D2084F}"/>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9333B0EB-3C3D-4AE7-A03D-F86003D00211}"/>
    <cellStyle name="20% - Accent1 3 6 2 3" xfId="13416" xr:uid="{6C70B0DA-7740-4943-AC25-BA9B40693360}"/>
    <cellStyle name="20% - Accent1 3 6 3" xfId="6162" xr:uid="{00000000-0005-0000-0000-000076000000}"/>
    <cellStyle name="20% - Accent1 3 6 3 2" xfId="15488" xr:uid="{686A85DD-9F76-4E6B-99EA-ED7E1389DCFB}"/>
    <cellStyle name="20% - Accent1 3 6 4" xfId="11271" xr:uid="{AD662FCA-57FC-4BF7-B2A9-77DE634AF4E0}"/>
    <cellStyle name="20% - Accent1 3 7" xfId="2269" xr:uid="{00000000-0005-0000-0000-000077000000}"/>
    <cellStyle name="20% - Accent1 3 7 2" xfId="6575" xr:uid="{00000000-0005-0000-0000-000078000000}"/>
    <cellStyle name="20% - Accent1 3 7 2 2" xfId="15901" xr:uid="{2EE3BD6E-6527-4111-A94F-F72D7724204A}"/>
    <cellStyle name="20% - Accent1 3 7 3" xfId="11684" xr:uid="{24C36B1C-0013-4855-B922-23C9B1EBF08F}"/>
    <cellStyle name="20% - Accent1 3 8" xfId="4509" xr:uid="{00000000-0005-0000-0000-000079000000}"/>
    <cellStyle name="20% - Accent1 3 8 2" xfId="13835" xr:uid="{4B02AC19-C450-4E7F-A3B7-ECB3628AD91A}"/>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6234077C-B27B-4C20-99DC-CC65A45616F4}"/>
    <cellStyle name="20% - Accent1 4 2 2 3" xfId="12179" xr:uid="{ADD335D0-0B6D-4CB5-96AD-90176C2C9C6B}"/>
    <cellStyle name="20% - Accent1 4 2 3" xfId="4925" xr:uid="{00000000-0005-0000-0000-00007E000000}"/>
    <cellStyle name="20% - Accent1 4 2 3 2" xfId="14251" xr:uid="{5C4B9A2B-01E1-42D5-90E7-4833DC67A0F2}"/>
    <cellStyle name="20% - Accent1 4 2 4" xfId="9372" xr:uid="{E6B08341-6F7D-4580-9BCF-4BFC252FAE31}"/>
    <cellStyle name="20% - Accent1 4 2 5" xfId="10034" xr:uid="{2F2CFCB1-81D1-4D68-80EC-505F13646E12}"/>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1D1BD329-157F-4B8A-8B76-2DD2281936A8}"/>
    <cellStyle name="20% - Accent1 4 3 2 3" xfId="12592" xr:uid="{4FF7BEF0-03CD-4720-B934-FC1701CF5CE0}"/>
    <cellStyle name="20% - Accent1 4 3 3" xfId="5338" xr:uid="{00000000-0005-0000-0000-000082000000}"/>
    <cellStyle name="20% - Accent1 4 3 3 2" xfId="14664" xr:uid="{EA4B26B3-57B2-4472-B5D1-66A222463687}"/>
    <cellStyle name="20% - Accent1 4 3 4" xfId="10447" xr:uid="{1C6E68C3-7A87-442D-A31B-E7EF8E90C8BF}"/>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A3D2A70F-1524-4ECA-A06B-15463BD0FFC9}"/>
    <cellStyle name="20% - Accent1 4 4 2 3" xfId="13005" xr:uid="{59664AB8-9CBC-4E82-A9BF-844B9B6FD8C5}"/>
    <cellStyle name="20% - Accent1 4 4 3" xfId="5751" xr:uid="{00000000-0005-0000-0000-000086000000}"/>
    <cellStyle name="20% - Accent1 4 4 3 2" xfId="15077" xr:uid="{55064245-9B73-45DF-B7BF-4BB41FC158C8}"/>
    <cellStyle name="20% - Accent1 4 4 4" xfId="10860" xr:uid="{B7289244-A067-470F-8BF5-E1DD7BCBCCB1}"/>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72E5ABEC-3627-4008-994A-019B4CD69E51}"/>
    <cellStyle name="20% - Accent1 4 5 2 3" xfId="13418" xr:uid="{334B1C14-7914-4CB1-9FD4-54BB31EED492}"/>
    <cellStyle name="20% - Accent1 4 5 3" xfId="6164" xr:uid="{00000000-0005-0000-0000-00008A000000}"/>
    <cellStyle name="20% - Accent1 4 5 3 2" xfId="15490" xr:uid="{37720D24-FD0B-409B-A5FB-EA4B46BC8C10}"/>
    <cellStyle name="20% - Accent1 4 5 4" xfId="11273" xr:uid="{A36BAC13-1A8E-4D69-A067-757A4DAF7A42}"/>
    <cellStyle name="20% - Accent1 4 6" xfId="2271" xr:uid="{00000000-0005-0000-0000-00008B000000}"/>
    <cellStyle name="20% - Accent1 4 6 2" xfId="6577" xr:uid="{00000000-0005-0000-0000-00008C000000}"/>
    <cellStyle name="20% - Accent1 4 6 2 2" xfId="15903" xr:uid="{4DCCDA12-16C9-448C-BDF6-2A9C59521488}"/>
    <cellStyle name="20% - Accent1 4 6 3" xfId="11686" xr:uid="{11C5C050-2502-48AF-BAC7-C38A1E2A0AFD}"/>
    <cellStyle name="20% - Accent1 4 7" xfId="4511" xr:uid="{00000000-0005-0000-0000-00008D000000}"/>
    <cellStyle name="20% - Accent1 4 7 2" xfId="13837" xr:uid="{3C43A491-DA1C-4B1F-8E94-5942008CCFD0}"/>
    <cellStyle name="20% - Accent1 4 8" xfId="8947" xr:uid="{1FCDBFE2-CC86-42DD-AD9B-D3EAF476002E}"/>
    <cellStyle name="20% - Accent1 4 9" xfId="9620" xr:uid="{6432D16A-E690-4227-BCC5-2DC652047C0D}"/>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E973661C-C07F-4D0D-B943-D41234859FF7}"/>
    <cellStyle name="20% - Accent1 5 2 3" xfId="12172" xr:uid="{BD06C05F-E47C-4E85-B5CA-485870BF499E}"/>
    <cellStyle name="20% - Accent1 5 3" xfId="4918" xr:uid="{00000000-0005-0000-0000-000091000000}"/>
    <cellStyle name="20% - Accent1 5 3 2" xfId="14244" xr:uid="{73ABE034-43F3-45DB-BE97-DFA4587F5942}"/>
    <cellStyle name="20% - Accent1 5 4" xfId="9180" xr:uid="{D0AEF57E-25E3-47C5-B910-DC1A0019F498}"/>
    <cellStyle name="20% - Accent1 5 5" xfId="10027" xr:uid="{99FDD00B-6EE3-40BE-926D-A69A5C885AE6}"/>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4A00F081-8F63-4C65-A5C3-3D6918303104}"/>
    <cellStyle name="20% - Accent1 6 2 3" xfId="12585" xr:uid="{3A3C8A4E-EB00-414C-B349-DE92B9901FB1}"/>
    <cellStyle name="20% - Accent1 6 3" xfId="5331" xr:uid="{00000000-0005-0000-0000-000095000000}"/>
    <cellStyle name="20% - Accent1 6 3 2" xfId="14657" xr:uid="{7BA05CE9-0C74-419B-8D15-C47B36B43B1F}"/>
    <cellStyle name="20% - Accent1 6 4" xfId="10440" xr:uid="{C078CC4B-3027-48AB-B7D3-4AC191D1750D}"/>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B6A9F0BF-8717-46B9-B0AC-AFB38B6BCD92}"/>
    <cellStyle name="20% - Accent1 7 2 3" xfId="12998" xr:uid="{16CE4CF3-D66B-48D3-B9D7-59C5D5D0F0AC}"/>
    <cellStyle name="20% - Accent1 7 3" xfId="5744" xr:uid="{00000000-0005-0000-0000-000099000000}"/>
    <cellStyle name="20% - Accent1 7 3 2" xfId="15070" xr:uid="{777BB278-18FE-4B53-A122-A6147F8BB1B5}"/>
    <cellStyle name="20% - Accent1 7 4" xfId="10853" xr:uid="{2C26BC59-39C7-4B8D-A821-FF41DE1AF776}"/>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4685ECA8-ACCC-4866-9AC9-A9CB0D4929BA}"/>
    <cellStyle name="20% - Accent1 8 2 3" xfId="13411" xr:uid="{7BD811C3-7695-4BF2-93CC-8F72BF56F914}"/>
    <cellStyle name="20% - Accent1 8 3" xfId="6157" xr:uid="{00000000-0005-0000-0000-00009D000000}"/>
    <cellStyle name="20% - Accent1 8 3 2" xfId="15483" xr:uid="{32404ADD-9F72-4AC5-B5EB-C14FB2122D60}"/>
    <cellStyle name="20% - Accent1 8 4" xfId="11266" xr:uid="{10EB5A8E-95B3-4BCF-A1D6-5C997AC64BC2}"/>
    <cellStyle name="20% - Accent1 9" xfId="2264" xr:uid="{00000000-0005-0000-0000-00009E000000}"/>
    <cellStyle name="20% - Accent1 9 2" xfId="6570" xr:uid="{00000000-0005-0000-0000-00009F000000}"/>
    <cellStyle name="20% - Accent1 9 2 2" xfId="15896" xr:uid="{F58CA67B-D38F-4642-B2CF-BC549727D0AB}"/>
    <cellStyle name="20% - Accent1 9 3" xfId="11679" xr:uid="{C56D5192-5044-4932-99AF-DF614A2A50BA}"/>
    <cellStyle name="20% - Accent2" xfId="9" builtinId="34" customBuiltin="1"/>
    <cellStyle name="20% - Accent2 10" xfId="4512" xr:uid="{00000000-0005-0000-0000-0000A1000000}"/>
    <cellStyle name="20% - Accent2 10 2" xfId="13838" xr:uid="{1DBBF3AC-A128-486F-9A9B-EBBBAFC66AFC}"/>
    <cellStyle name="20% - Accent2 11" xfId="8760" xr:uid="{2F9D8AF1-C115-467C-ADFB-3BF13039D076}"/>
    <cellStyle name="20% - Accent2 12" xfId="9621" xr:uid="{AE6CEE6C-9C8D-429D-AD44-72C54E07FF67}"/>
    <cellStyle name="20% - Accent2 2" xfId="10" xr:uid="{00000000-0005-0000-0000-0000A2000000}"/>
    <cellStyle name="20% - Accent2 2 10" xfId="8793" xr:uid="{AA7C3473-3A75-4F75-9E25-D7658C57F3A0}"/>
    <cellStyle name="20% - Accent2 2 11" xfId="9622" xr:uid="{BA0D3E43-6900-4B46-948C-44D3F6187DC4}"/>
    <cellStyle name="20% - Accent2 2 2" xfId="11" xr:uid="{00000000-0005-0000-0000-0000A3000000}"/>
    <cellStyle name="20% - Accent2 2 2 10" xfId="9623" xr:uid="{547957C3-27C7-445A-B90C-05D7489DC838}"/>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23B81A32-4A8C-4A66-8820-27E09447BE9E}"/>
    <cellStyle name="20% - Accent2 2 2 2 2 2 3" xfId="12183" xr:uid="{4B9C73DB-47E0-48FF-B1E2-6B6026ACD2CE}"/>
    <cellStyle name="20% - Accent2 2 2 2 2 3" xfId="4929" xr:uid="{00000000-0005-0000-0000-0000A8000000}"/>
    <cellStyle name="20% - Accent2 2 2 2 2 3 2" xfId="14255" xr:uid="{24B88440-E7BF-427D-A676-48D3D52EB490}"/>
    <cellStyle name="20% - Accent2 2 2 2 2 4" xfId="9528" xr:uid="{C8BEA541-FD8B-4449-95AA-43E1904F35BB}"/>
    <cellStyle name="20% - Accent2 2 2 2 2 5" xfId="10038" xr:uid="{62C7996F-7AA6-4322-93D0-85168FA090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372C9147-8CBE-461E-8402-4B53F9B87DB6}"/>
    <cellStyle name="20% - Accent2 2 2 2 3 2 3" xfId="12596" xr:uid="{86117988-6CEC-4779-A94C-6337350967B7}"/>
    <cellStyle name="20% - Accent2 2 2 2 3 3" xfId="5342" xr:uid="{00000000-0005-0000-0000-0000AC000000}"/>
    <cellStyle name="20% - Accent2 2 2 2 3 3 2" xfId="14668" xr:uid="{1B7DDBFA-E8A6-4A77-A835-BCEB7B5994EF}"/>
    <cellStyle name="20% - Accent2 2 2 2 3 4" xfId="10451" xr:uid="{407C58BB-F029-4B1B-A332-4D2E96FF45AD}"/>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B4D4C35C-B93F-464A-A5F9-55F761FBA1D7}"/>
    <cellStyle name="20% - Accent2 2 2 2 4 2 3" xfId="13009" xr:uid="{95E79B07-F491-49C4-BAE8-6F60CFF9D133}"/>
    <cellStyle name="20% - Accent2 2 2 2 4 3" xfId="5755" xr:uid="{00000000-0005-0000-0000-0000B0000000}"/>
    <cellStyle name="20% - Accent2 2 2 2 4 3 2" xfId="15081" xr:uid="{40818B00-99EB-4930-91AB-414E094A4855}"/>
    <cellStyle name="20% - Accent2 2 2 2 4 4" xfId="10864" xr:uid="{09430B4E-A861-47DD-82BA-D3F4FC406199}"/>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356D7C3D-D27C-4AE1-B3EC-05CC837AD8C1}"/>
    <cellStyle name="20% - Accent2 2 2 2 5 2 3" xfId="13422" xr:uid="{8D5AF6A1-D1C4-4481-9406-1D3634CD5F32}"/>
    <cellStyle name="20% - Accent2 2 2 2 5 3" xfId="6168" xr:uid="{00000000-0005-0000-0000-0000B4000000}"/>
    <cellStyle name="20% - Accent2 2 2 2 5 3 2" xfId="15494" xr:uid="{D7A41538-DC70-4A15-86EA-018222C9093B}"/>
    <cellStyle name="20% - Accent2 2 2 2 5 4" xfId="11277" xr:uid="{2C596F31-D3D6-4E97-9787-0EA025690D81}"/>
    <cellStyle name="20% - Accent2 2 2 2 6" xfId="2275" xr:uid="{00000000-0005-0000-0000-0000B5000000}"/>
    <cellStyle name="20% - Accent2 2 2 2 6 2" xfId="6581" xr:uid="{00000000-0005-0000-0000-0000B6000000}"/>
    <cellStyle name="20% - Accent2 2 2 2 6 2 2" xfId="15907" xr:uid="{105F7373-83A9-4792-BA6E-6A3C4C8CC8B1}"/>
    <cellStyle name="20% - Accent2 2 2 2 6 3" xfId="11690" xr:uid="{987CDC9A-CEFD-43AF-9568-3EC5EBD576AE}"/>
    <cellStyle name="20% - Accent2 2 2 2 7" xfId="4515" xr:uid="{00000000-0005-0000-0000-0000B7000000}"/>
    <cellStyle name="20% - Accent2 2 2 2 7 2" xfId="13841" xr:uid="{2CC06F60-7B38-49F9-806E-FADA9EB509BD}"/>
    <cellStyle name="20% - Accent2 2 2 2 8" xfId="9103" xr:uid="{91DB80A1-3464-4086-B948-71B6A26537C4}"/>
    <cellStyle name="20% - Accent2 2 2 2 9" xfId="9624" xr:uid="{0F703ABE-404C-46DC-A293-0FB1CB199F10}"/>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4B43DEA6-9569-414E-97FD-A2A6D91654BC}"/>
    <cellStyle name="20% - Accent2 2 2 3 2 3" xfId="12182" xr:uid="{474985B5-25AF-46D6-ABBF-9FF4000AB1F8}"/>
    <cellStyle name="20% - Accent2 2 2 3 3" xfId="4928" xr:uid="{00000000-0005-0000-0000-0000BB000000}"/>
    <cellStyle name="20% - Accent2 2 2 3 3 2" xfId="14254" xr:uid="{297436C0-8BDD-4A3B-BA95-8BE7AA44D15A}"/>
    <cellStyle name="20% - Accent2 2 2 3 4" xfId="9321" xr:uid="{32B21C3A-E360-4F19-B469-1116F045A0F3}"/>
    <cellStyle name="20% - Accent2 2 2 3 5" xfId="10037" xr:uid="{7F6EE6B9-C2E4-48F3-A250-F87679958247}"/>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F5169824-4294-4094-BB4F-1002FB607E00}"/>
    <cellStyle name="20% - Accent2 2 2 4 2 3" xfId="12595" xr:uid="{DB511A26-65A9-4B5F-AA66-04D6AF98BD0A}"/>
    <cellStyle name="20% - Accent2 2 2 4 3" xfId="5341" xr:uid="{00000000-0005-0000-0000-0000BF000000}"/>
    <cellStyle name="20% - Accent2 2 2 4 3 2" xfId="14667" xr:uid="{8765A846-3674-4FE1-907D-1B9FB27F9A24}"/>
    <cellStyle name="20% - Accent2 2 2 4 4" xfId="10450" xr:uid="{D970AB20-903B-4760-8393-BD107B0D258D}"/>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705FC882-DF09-4CF5-B8C4-24C05EC7A0CC}"/>
    <cellStyle name="20% - Accent2 2 2 5 2 3" xfId="13008" xr:uid="{051FC983-3137-430C-A13F-13503DB661A7}"/>
    <cellStyle name="20% - Accent2 2 2 5 3" xfId="5754" xr:uid="{00000000-0005-0000-0000-0000C3000000}"/>
    <cellStyle name="20% - Accent2 2 2 5 3 2" xfId="15080" xr:uid="{826EC89B-E3A4-443C-8BC7-8A3CAA93064E}"/>
    <cellStyle name="20% - Accent2 2 2 5 4" xfId="10863" xr:uid="{4B782423-ACEB-4439-8829-ADE7DE61A8AE}"/>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3D250864-1F8A-4BB4-9AEF-AEEA8E94EFA0}"/>
    <cellStyle name="20% - Accent2 2 2 6 2 3" xfId="13421" xr:uid="{5AD27C58-96C7-4829-A792-FA6E797CBC41}"/>
    <cellStyle name="20% - Accent2 2 2 6 3" xfId="6167" xr:uid="{00000000-0005-0000-0000-0000C7000000}"/>
    <cellStyle name="20% - Accent2 2 2 6 3 2" xfId="15493" xr:uid="{759138C9-102A-423B-9D9E-08489474BB55}"/>
    <cellStyle name="20% - Accent2 2 2 6 4" xfId="11276" xr:uid="{D8BD7822-A850-47CC-8D49-4357B3F7F8AC}"/>
    <cellStyle name="20% - Accent2 2 2 7" xfId="2274" xr:uid="{00000000-0005-0000-0000-0000C8000000}"/>
    <cellStyle name="20% - Accent2 2 2 7 2" xfId="6580" xr:uid="{00000000-0005-0000-0000-0000C9000000}"/>
    <cellStyle name="20% - Accent2 2 2 7 2 2" xfId="15906" xr:uid="{56C3BB5F-A57F-4F15-8A64-0D5B1615BA6F}"/>
    <cellStyle name="20% - Accent2 2 2 7 3" xfId="11689" xr:uid="{B1FCB739-DD01-441F-801D-7631DB438C71}"/>
    <cellStyle name="20% - Accent2 2 2 8" xfId="4514" xr:uid="{00000000-0005-0000-0000-0000CA000000}"/>
    <cellStyle name="20% - Accent2 2 2 8 2" xfId="13840" xr:uid="{47AE8015-353A-4560-9439-03B16CBA907D}"/>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6A74FF70-E365-42D1-A850-289AC712753A}"/>
    <cellStyle name="20% - Accent2 2 3 2 2 3" xfId="12184" xr:uid="{B6392A19-FAA3-44CA-BA72-C2672D314373}"/>
    <cellStyle name="20% - Accent2 2 3 2 3" xfId="4930" xr:uid="{00000000-0005-0000-0000-0000CF000000}"/>
    <cellStyle name="20% - Accent2 2 3 2 3 2" xfId="14256" xr:uid="{1A69F61B-93F2-403B-B26E-0159B3FFA7B1}"/>
    <cellStyle name="20% - Accent2 2 3 2 4" xfId="9425" xr:uid="{35BECFF4-0F5A-4F6E-AE6E-354891135B4F}"/>
    <cellStyle name="20% - Accent2 2 3 2 5" xfId="10039" xr:uid="{03BF6FD1-47FF-43FF-AB0E-B77C1821F581}"/>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91510E92-F81F-4EC1-AFA0-302E49E2410B}"/>
    <cellStyle name="20% - Accent2 2 3 3 2 3" xfId="12597" xr:uid="{FD9219C3-7176-42AF-ADF6-50A5EDDDB1ED}"/>
    <cellStyle name="20% - Accent2 2 3 3 3" xfId="5343" xr:uid="{00000000-0005-0000-0000-0000D3000000}"/>
    <cellStyle name="20% - Accent2 2 3 3 3 2" xfId="14669" xr:uid="{38EF3ABE-5EA8-474D-A892-26DFD6607A4E}"/>
    <cellStyle name="20% - Accent2 2 3 3 4" xfId="10452" xr:uid="{00003AB7-32B6-46D1-86D3-BF37D57E1B29}"/>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992F775A-79E8-40D5-9C59-A941C2BF4406}"/>
    <cellStyle name="20% - Accent2 2 3 4 2 3" xfId="13010" xr:uid="{D2840784-9D73-43D8-A13A-40D20D0FFF49}"/>
    <cellStyle name="20% - Accent2 2 3 4 3" xfId="5756" xr:uid="{00000000-0005-0000-0000-0000D7000000}"/>
    <cellStyle name="20% - Accent2 2 3 4 3 2" xfId="15082" xr:uid="{2F875C28-C8D5-4E8B-9FE4-14E9553C688A}"/>
    <cellStyle name="20% - Accent2 2 3 4 4" xfId="10865" xr:uid="{BD4A06D2-7CC6-48D4-8DDA-890D5A56A07B}"/>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56EA5E8E-F86C-4418-8C86-69ECB5845AB3}"/>
    <cellStyle name="20% - Accent2 2 3 5 2 3" xfId="13423" xr:uid="{8DF0A436-34E8-4D49-92BF-64E15FFCB78A}"/>
    <cellStyle name="20% - Accent2 2 3 5 3" xfId="6169" xr:uid="{00000000-0005-0000-0000-0000DB000000}"/>
    <cellStyle name="20% - Accent2 2 3 5 3 2" xfId="15495" xr:uid="{C24B57EC-2F51-404A-8467-DE42CB2EC187}"/>
    <cellStyle name="20% - Accent2 2 3 5 4" xfId="11278" xr:uid="{39616265-4A73-46F0-B6B6-B65568167E90}"/>
    <cellStyle name="20% - Accent2 2 3 6" xfId="2276" xr:uid="{00000000-0005-0000-0000-0000DC000000}"/>
    <cellStyle name="20% - Accent2 2 3 6 2" xfId="6582" xr:uid="{00000000-0005-0000-0000-0000DD000000}"/>
    <cellStyle name="20% - Accent2 2 3 6 2 2" xfId="15908" xr:uid="{CBFEDADB-822D-4565-B45C-466A720D4CFB}"/>
    <cellStyle name="20% - Accent2 2 3 6 3" xfId="11691" xr:uid="{9A4BD654-4B54-48C7-9B7B-896981A5D692}"/>
    <cellStyle name="20% - Accent2 2 3 7" xfId="4516" xr:uid="{00000000-0005-0000-0000-0000DE000000}"/>
    <cellStyle name="20% - Accent2 2 3 7 2" xfId="13842" xr:uid="{9A7C8D80-0B10-4951-A0C0-7A9416518C14}"/>
    <cellStyle name="20% - Accent2 2 3 8" xfId="9000" xr:uid="{133DFC5C-F2FF-49E9-82EE-ABAA9C815393}"/>
    <cellStyle name="20% - Accent2 2 3 9" xfId="9625" xr:uid="{57DE7975-D1C9-4B35-8167-35E04C94DF9B}"/>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DD571D24-8DEF-4290-A4E2-BDE84A369BF4}"/>
    <cellStyle name="20% - Accent2 2 4 2 3" xfId="12181" xr:uid="{1CCEE9DC-90DE-4C17-A5F7-BEDF26C4141C}"/>
    <cellStyle name="20% - Accent2 2 4 3" xfId="4927" xr:uid="{00000000-0005-0000-0000-0000E2000000}"/>
    <cellStyle name="20% - Accent2 2 4 3 2" xfId="14253" xr:uid="{D045461B-37CB-4933-B4F7-90D812241879}"/>
    <cellStyle name="20% - Accent2 2 4 4" xfId="9217" xr:uid="{28DDC3F5-BA57-40F8-8D06-6CFF141CF9A1}"/>
    <cellStyle name="20% - Accent2 2 4 5" xfId="10036" xr:uid="{61327CEF-74C0-4893-8F74-B218CF57D02C}"/>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A1A0CEA3-4A80-4CA4-913B-DE92AB3D0574}"/>
    <cellStyle name="20% - Accent2 2 5 2 3" xfId="12594" xr:uid="{E04E4236-CEDF-44EE-A607-2C4FD01C6E70}"/>
    <cellStyle name="20% - Accent2 2 5 3" xfId="5340" xr:uid="{00000000-0005-0000-0000-0000E6000000}"/>
    <cellStyle name="20% - Accent2 2 5 3 2" xfId="14666" xr:uid="{655B5AF2-2221-4960-BAAE-179DAB4AC1FC}"/>
    <cellStyle name="20% - Accent2 2 5 4" xfId="10449" xr:uid="{92828DE5-33C1-46FE-8EF2-E859352E1CC6}"/>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16288A3A-1201-4FDC-8704-052543E40E75}"/>
    <cellStyle name="20% - Accent2 2 6 2 3" xfId="13007" xr:uid="{0FC13172-D4AA-4FA6-9C2E-6BC55F2A5D6A}"/>
    <cellStyle name="20% - Accent2 2 6 3" xfId="5753" xr:uid="{00000000-0005-0000-0000-0000EA000000}"/>
    <cellStyle name="20% - Accent2 2 6 3 2" xfId="15079" xr:uid="{28A27946-6038-45B1-A6FF-5C7EF55143E1}"/>
    <cellStyle name="20% - Accent2 2 6 4" xfId="10862" xr:uid="{1A5260CE-A94E-4E8F-8267-2F7DC26B4070}"/>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754D7F10-BB7F-4577-9A61-FF0511F436F2}"/>
    <cellStyle name="20% - Accent2 2 7 2 3" xfId="13420" xr:uid="{84617A6D-554B-4B26-B5A8-EDFC4A1C733D}"/>
    <cellStyle name="20% - Accent2 2 7 3" xfId="6166" xr:uid="{00000000-0005-0000-0000-0000EE000000}"/>
    <cellStyle name="20% - Accent2 2 7 3 2" xfId="15492" xr:uid="{47D3D7D2-9E2A-4B94-AC0E-922EBDFAB172}"/>
    <cellStyle name="20% - Accent2 2 7 4" xfId="11275" xr:uid="{A46BBFE5-8EC8-4EA7-BE08-1133336B7DF9}"/>
    <cellStyle name="20% - Accent2 2 8" xfId="2273" xr:uid="{00000000-0005-0000-0000-0000EF000000}"/>
    <cellStyle name="20% - Accent2 2 8 2" xfId="6579" xr:uid="{00000000-0005-0000-0000-0000F0000000}"/>
    <cellStyle name="20% - Accent2 2 8 2 2" xfId="15905" xr:uid="{07F6DD0A-779F-4478-93D5-8D7CABFA67B6}"/>
    <cellStyle name="20% - Accent2 2 8 3" xfId="11688" xr:uid="{CDDE09C1-7CAB-4F2C-B80B-D5D8C1D5DA1B}"/>
    <cellStyle name="20% - Accent2 2 9" xfId="4513" xr:uid="{00000000-0005-0000-0000-0000F1000000}"/>
    <cellStyle name="20% - Accent2 2 9 2" xfId="13839" xr:uid="{B4D91C66-B17A-450C-BFC7-DAC3EDF895E6}"/>
    <cellStyle name="20% - Accent2 3" xfId="14" xr:uid="{00000000-0005-0000-0000-0000F2000000}"/>
    <cellStyle name="20% - Accent2 3 10" xfId="9626" xr:uid="{B215BFA5-AAD9-4674-A03C-28D7700593F5}"/>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AF6F7057-1C44-4330-BE2D-E228BE6BA913}"/>
    <cellStyle name="20% - Accent2 3 2 2 2 3" xfId="12186" xr:uid="{FE56E95A-C11C-490C-9401-615AF90F8441}"/>
    <cellStyle name="20% - Accent2 3 2 2 3" xfId="4932" xr:uid="{00000000-0005-0000-0000-0000F7000000}"/>
    <cellStyle name="20% - Accent2 3 2 2 3 2" xfId="14258" xr:uid="{943EB83F-8A7E-4C8F-A60F-2A13AC9333C6}"/>
    <cellStyle name="20% - Accent2 3 2 2 4" xfId="9495" xr:uid="{9F5A6FE7-BBC9-4787-8EC4-2112F4D5A0EA}"/>
    <cellStyle name="20% - Accent2 3 2 2 5" xfId="10041" xr:uid="{A12F49B5-1544-492B-8FE0-4C5380FA073C}"/>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8E638F0F-1DF9-4E73-9091-A1D4F0E453CA}"/>
    <cellStyle name="20% - Accent2 3 2 3 2 3" xfId="12599" xr:uid="{84FE12C5-33D8-4D63-8714-694A34F9A619}"/>
    <cellStyle name="20% - Accent2 3 2 3 3" xfId="5345" xr:uid="{00000000-0005-0000-0000-0000FB000000}"/>
    <cellStyle name="20% - Accent2 3 2 3 3 2" xfId="14671" xr:uid="{97C2E39E-DD4C-4806-811D-B72BD527FFB4}"/>
    <cellStyle name="20% - Accent2 3 2 3 4" xfId="10454" xr:uid="{6804B3F5-F0EC-40B4-99DA-342474F92769}"/>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8376C4EF-A3BC-42BC-8C15-0BBC8B9B6D62}"/>
    <cellStyle name="20% - Accent2 3 2 4 2 3" xfId="13012" xr:uid="{2C3BCDE0-42C1-456D-BBD3-7415A8F4475F}"/>
    <cellStyle name="20% - Accent2 3 2 4 3" xfId="5758" xr:uid="{00000000-0005-0000-0000-0000FF000000}"/>
    <cellStyle name="20% - Accent2 3 2 4 3 2" xfId="15084" xr:uid="{94A99DE4-1A3C-46AF-9CA4-12A8B0B59B03}"/>
    <cellStyle name="20% - Accent2 3 2 4 4" xfId="10867" xr:uid="{4A2EF4E5-3B0C-4E96-8633-3A66D5EA717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E82D6229-B868-422A-A14E-96F46BF395C3}"/>
    <cellStyle name="20% - Accent2 3 2 5 2 3" xfId="13425" xr:uid="{90EE0F2D-F335-4B44-99D7-28F5C0CAACC3}"/>
    <cellStyle name="20% - Accent2 3 2 5 3" xfId="6171" xr:uid="{00000000-0005-0000-0000-000003010000}"/>
    <cellStyle name="20% - Accent2 3 2 5 3 2" xfId="15497" xr:uid="{B4E856AB-26DE-4049-9C18-A90F5E414973}"/>
    <cellStyle name="20% - Accent2 3 2 5 4" xfId="11280" xr:uid="{EDC9430D-C126-43F3-9D2F-D6D05BA9B7E7}"/>
    <cellStyle name="20% - Accent2 3 2 6" xfId="2278" xr:uid="{00000000-0005-0000-0000-000004010000}"/>
    <cellStyle name="20% - Accent2 3 2 6 2" xfId="6584" xr:uid="{00000000-0005-0000-0000-000005010000}"/>
    <cellStyle name="20% - Accent2 3 2 6 2 2" xfId="15910" xr:uid="{A8839B0F-5596-429E-829E-7D3F55ED4493}"/>
    <cellStyle name="20% - Accent2 3 2 6 3" xfId="11693" xr:uid="{DE7AED3B-6EA0-48DD-B138-432A1F1E29F7}"/>
    <cellStyle name="20% - Accent2 3 2 7" xfId="4518" xr:uid="{00000000-0005-0000-0000-000006010000}"/>
    <cellStyle name="20% - Accent2 3 2 7 2" xfId="13844" xr:uid="{7969053B-3EC8-4246-ADAF-6F1DFE256EA7}"/>
    <cellStyle name="20% - Accent2 3 2 8" xfId="9070" xr:uid="{8A9168BA-490F-4E57-83EA-22187D24153F}"/>
    <cellStyle name="20% - Accent2 3 2 9" xfId="9627" xr:uid="{E7C9FAB6-3490-4D6B-8ACA-A852F891110C}"/>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16982CC6-2DDA-4180-85F0-963064B67872}"/>
    <cellStyle name="20% - Accent2 3 3 2 3" xfId="12185" xr:uid="{95E7EB95-3683-4801-8333-B49C5B96AE0D}"/>
    <cellStyle name="20% - Accent2 3 3 3" xfId="4931" xr:uid="{00000000-0005-0000-0000-00000A010000}"/>
    <cellStyle name="20% - Accent2 3 3 3 2" xfId="14257" xr:uid="{40C1A0AA-1D6A-4D0E-A7B9-FEA9E4A17D75}"/>
    <cellStyle name="20% - Accent2 3 3 4" xfId="9288" xr:uid="{FCD70616-ECAD-4A0B-889F-4698E1AD889E}"/>
    <cellStyle name="20% - Accent2 3 3 5" xfId="10040" xr:uid="{53E3D70A-44B9-4D58-A095-D29219DFFEBF}"/>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3F1156E3-744F-4B8A-8835-2EBFB1BE694E}"/>
    <cellStyle name="20% - Accent2 3 4 2 3" xfId="12598" xr:uid="{2D9410F2-6C5C-427A-B066-5026A922DC97}"/>
    <cellStyle name="20% - Accent2 3 4 3" xfId="5344" xr:uid="{00000000-0005-0000-0000-00000E010000}"/>
    <cellStyle name="20% - Accent2 3 4 3 2" xfId="14670" xr:uid="{2744E353-7CDD-49DF-98AF-C39181BF911A}"/>
    <cellStyle name="20% - Accent2 3 4 4" xfId="10453" xr:uid="{E7A7B7C7-3538-4C15-A09D-C2D34201318E}"/>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08FA6BD6-ABBD-4AEF-B448-3C8682342A39}"/>
    <cellStyle name="20% - Accent2 3 5 2 3" xfId="13011" xr:uid="{57315348-0556-4233-854B-5E8DCA97ABD9}"/>
    <cellStyle name="20% - Accent2 3 5 3" xfId="5757" xr:uid="{00000000-0005-0000-0000-000012010000}"/>
    <cellStyle name="20% - Accent2 3 5 3 2" xfId="15083" xr:uid="{682BC975-0046-4101-A164-5E9D0179E032}"/>
    <cellStyle name="20% - Accent2 3 5 4" xfId="10866" xr:uid="{D260AF02-4589-4464-9BB7-F9CE9D455DD8}"/>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733B7A65-62EA-4EC0-82B2-1FCF3845A558}"/>
    <cellStyle name="20% - Accent2 3 6 2 3" xfId="13424" xr:uid="{BCBBB880-5F45-42B3-A76C-1B38028C1830}"/>
    <cellStyle name="20% - Accent2 3 6 3" xfId="6170" xr:uid="{00000000-0005-0000-0000-000016010000}"/>
    <cellStyle name="20% - Accent2 3 6 3 2" xfId="15496" xr:uid="{75CBA81E-78F2-4DC7-AF9B-FFD5AE1081A2}"/>
    <cellStyle name="20% - Accent2 3 6 4" xfId="11279" xr:uid="{E2970D34-4CDC-4A5B-B5A8-346AA70631C8}"/>
    <cellStyle name="20% - Accent2 3 7" xfId="2277" xr:uid="{00000000-0005-0000-0000-000017010000}"/>
    <cellStyle name="20% - Accent2 3 7 2" xfId="6583" xr:uid="{00000000-0005-0000-0000-000018010000}"/>
    <cellStyle name="20% - Accent2 3 7 2 2" xfId="15909" xr:uid="{6BDCB9B5-EE87-4702-9EE7-C5783E254C34}"/>
    <cellStyle name="20% - Accent2 3 7 3" xfId="11692" xr:uid="{8D9A2F0D-9E56-49E6-AFC4-F03AAE50136C}"/>
    <cellStyle name="20% - Accent2 3 8" xfId="4517" xr:uid="{00000000-0005-0000-0000-000019010000}"/>
    <cellStyle name="20% - Accent2 3 8 2" xfId="13843" xr:uid="{07548958-EF69-4143-AE5B-49C4FC64F3D9}"/>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A0546E0B-5063-4DB3-95E5-EFC7B84EDB37}"/>
    <cellStyle name="20% - Accent2 4 2 2 3" xfId="12187" xr:uid="{DEBD7748-22A7-4566-8F5F-D1D0016FD8CF}"/>
    <cellStyle name="20% - Accent2 4 2 3" xfId="4933" xr:uid="{00000000-0005-0000-0000-00001E010000}"/>
    <cellStyle name="20% - Accent2 4 2 3 2" xfId="14259" xr:uid="{8F7069FC-3392-4B18-BD00-09533B56196A}"/>
    <cellStyle name="20% - Accent2 4 2 4" xfId="9374" xr:uid="{26FD7A0E-8D04-4AF7-B092-2B22A78F0A97}"/>
    <cellStyle name="20% - Accent2 4 2 5" xfId="10042" xr:uid="{94D9D367-571B-4292-8BC6-EBB9AAF28F58}"/>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2E718A32-78A9-4FB2-B811-FF6C01A07651}"/>
    <cellStyle name="20% - Accent2 4 3 2 3" xfId="12600" xr:uid="{9020C6A4-6E1D-4217-8157-3C6A25064EF8}"/>
    <cellStyle name="20% - Accent2 4 3 3" xfId="5346" xr:uid="{00000000-0005-0000-0000-000022010000}"/>
    <cellStyle name="20% - Accent2 4 3 3 2" xfId="14672" xr:uid="{9A860B05-A405-4714-9401-83C8F3D25719}"/>
    <cellStyle name="20% - Accent2 4 3 4" xfId="10455" xr:uid="{6BB70544-4A4E-4D01-8D2D-E33EC4AD47FD}"/>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9492951F-1642-4ACB-ABC4-E91933432D1C}"/>
    <cellStyle name="20% - Accent2 4 4 2 3" xfId="13013" xr:uid="{8F5D4859-6AB1-495F-8138-9D6916679978}"/>
    <cellStyle name="20% - Accent2 4 4 3" xfId="5759" xr:uid="{00000000-0005-0000-0000-000026010000}"/>
    <cellStyle name="20% - Accent2 4 4 3 2" xfId="15085" xr:uid="{1C6FBE72-0D49-4714-8BE8-FB73DB15AAEA}"/>
    <cellStyle name="20% - Accent2 4 4 4" xfId="10868" xr:uid="{AECD92B5-827E-4D50-958C-BCDD3243AD96}"/>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06399569-2003-4CBE-8A40-691DF9B5F005}"/>
    <cellStyle name="20% - Accent2 4 5 2 3" xfId="13426" xr:uid="{3F62600C-24AE-47D6-B39C-D7A351AFD586}"/>
    <cellStyle name="20% - Accent2 4 5 3" xfId="6172" xr:uid="{00000000-0005-0000-0000-00002A010000}"/>
    <cellStyle name="20% - Accent2 4 5 3 2" xfId="15498" xr:uid="{F2860F12-A73F-4ABA-8583-35BE473DBF34}"/>
    <cellStyle name="20% - Accent2 4 5 4" xfId="11281" xr:uid="{1926D79B-1B5B-4B49-A8FE-41E13012CED6}"/>
    <cellStyle name="20% - Accent2 4 6" xfId="2279" xr:uid="{00000000-0005-0000-0000-00002B010000}"/>
    <cellStyle name="20% - Accent2 4 6 2" xfId="6585" xr:uid="{00000000-0005-0000-0000-00002C010000}"/>
    <cellStyle name="20% - Accent2 4 6 2 2" xfId="15911" xr:uid="{11080A49-CC12-4BFD-9648-B21E2346938D}"/>
    <cellStyle name="20% - Accent2 4 6 3" xfId="11694" xr:uid="{0FE46CAD-4A11-4D26-9DD5-0F75E9E14FAA}"/>
    <cellStyle name="20% - Accent2 4 7" xfId="4519" xr:uid="{00000000-0005-0000-0000-00002D010000}"/>
    <cellStyle name="20% - Accent2 4 7 2" xfId="13845" xr:uid="{BD578481-5CC0-42A5-884C-1120AE3E600C}"/>
    <cellStyle name="20% - Accent2 4 8" xfId="8949" xr:uid="{084C22A9-B904-4AFE-A752-AC1DC2CA76B8}"/>
    <cellStyle name="20% - Accent2 4 9" xfId="9628" xr:uid="{69ACFD4C-CE9F-4AA1-A0F7-8862F51A45F2}"/>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9F32E71F-7FDC-4748-AC97-40BE0DA998E7}"/>
    <cellStyle name="20% - Accent2 5 2 3" xfId="12180" xr:uid="{7CBBA04B-0526-4383-93C7-0542D9862A2C}"/>
    <cellStyle name="20% - Accent2 5 3" xfId="4926" xr:uid="{00000000-0005-0000-0000-000031010000}"/>
    <cellStyle name="20% - Accent2 5 3 2" xfId="14252" xr:uid="{073BE0C1-E130-4101-88D7-67204A8AEA9A}"/>
    <cellStyle name="20% - Accent2 5 4" xfId="9182" xr:uid="{F822E263-B2A4-41B5-BBF9-FCE1A7A30601}"/>
    <cellStyle name="20% - Accent2 5 5" xfId="10035" xr:uid="{2F6C17BA-F096-483F-8B71-2A0C68066669}"/>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4B629A9F-396F-487E-9114-B8D157A86127}"/>
    <cellStyle name="20% - Accent2 6 2 3" xfId="12593" xr:uid="{B8E7A978-CFC4-4D8A-99BC-3C91D3191F3F}"/>
    <cellStyle name="20% - Accent2 6 3" xfId="5339" xr:uid="{00000000-0005-0000-0000-000035010000}"/>
    <cellStyle name="20% - Accent2 6 3 2" xfId="14665" xr:uid="{7C1BB239-BC35-4BB8-B7CB-7B426780328F}"/>
    <cellStyle name="20% - Accent2 6 4" xfId="10448" xr:uid="{FC7FB64E-D93E-4C91-92C4-0E1A6E191840}"/>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4BA63DB7-CB2F-4C10-8F8E-2C0B7137A726}"/>
    <cellStyle name="20% - Accent2 7 2 3" xfId="13006" xr:uid="{519A7CFA-5651-479B-8C9E-E90A4FC9584C}"/>
    <cellStyle name="20% - Accent2 7 3" xfId="5752" xr:uid="{00000000-0005-0000-0000-000039010000}"/>
    <cellStyle name="20% - Accent2 7 3 2" xfId="15078" xr:uid="{E41B51B5-C16A-4513-89FC-FDAC5642FD49}"/>
    <cellStyle name="20% - Accent2 7 4" xfId="10861" xr:uid="{FA3BAA6F-00BC-4516-9C0E-9BC38CF3C8D9}"/>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925981C0-5D21-4D17-BED2-F61A0E04BC2F}"/>
    <cellStyle name="20% - Accent2 8 2 3" xfId="13419" xr:uid="{C3AB1178-0308-4972-997F-D54CB0AF1DF2}"/>
    <cellStyle name="20% - Accent2 8 3" xfId="6165" xr:uid="{00000000-0005-0000-0000-00003D010000}"/>
    <cellStyle name="20% - Accent2 8 3 2" xfId="15491" xr:uid="{0037023E-5615-4772-9E42-0AEEF97C5486}"/>
    <cellStyle name="20% - Accent2 8 4" xfId="11274" xr:uid="{3ED150F8-C019-4515-97A0-59BA9969D9EB}"/>
    <cellStyle name="20% - Accent2 9" xfId="2272" xr:uid="{00000000-0005-0000-0000-00003E010000}"/>
    <cellStyle name="20% - Accent2 9 2" xfId="6578" xr:uid="{00000000-0005-0000-0000-00003F010000}"/>
    <cellStyle name="20% - Accent2 9 2 2" xfId="15904" xr:uid="{AE3D7BF8-8DAB-4F0A-A10E-0F4F7D96C49D}"/>
    <cellStyle name="20% - Accent2 9 3" xfId="11687" xr:uid="{D2EAB2DC-16E2-4F48-BDB9-9706D10198A4}"/>
    <cellStyle name="20% - Accent3" xfId="17" builtinId="38" customBuiltin="1"/>
    <cellStyle name="20% - Accent3 10" xfId="4520" xr:uid="{00000000-0005-0000-0000-000041010000}"/>
    <cellStyle name="20% - Accent3 10 2" xfId="13846" xr:uid="{848CFE47-BAA6-4BD2-9A81-9ECEA2E496D9}"/>
    <cellStyle name="20% - Accent3 11" xfId="8762" xr:uid="{49ACF776-43E7-4BB5-82F5-A8A4FEBC45F8}"/>
    <cellStyle name="20% - Accent3 12" xfId="9629" xr:uid="{4890DDB1-D8B9-4C7E-99C1-EE3E19CCC7F6}"/>
    <cellStyle name="20% - Accent3 2" xfId="18" xr:uid="{00000000-0005-0000-0000-000042010000}"/>
    <cellStyle name="20% - Accent3 2 10" xfId="8792" xr:uid="{65E5762F-047C-4860-B47E-71363924E2A5}"/>
    <cellStyle name="20% - Accent3 2 11" xfId="9630" xr:uid="{82CB9474-F6EB-434F-ABFD-012D04C095DA}"/>
    <cellStyle name="20% - Accent3 2 2" xfId="19" xr:uid="{00000000-0005-0000-0000-000043010000}"/>
    <cellStyle name="20% - Accent3 2 2 10" xfId="9631" xr:uid="{AAC8AB61-BD56-4F36-9010-8E86B5A8E622}"/>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F4BDD9DF-4CE0-4AE9-8A9E-469AA3EDDE69}"/>
    <cellStyle name="20% - Accent3 2 2 2 2 2 3" xfId="12191" xr:uid="{7AD58AA4-4243-411B-B47C-736CEC1075D8}"/>
    <cellStyle name="20% - Accent3 2 2 2 2 3" xfId="4937" xr:uid="{00000000-0005-0000-0000-000048010000}"/>
    <cellStyle name="20% - Accent3 2 2 2 2 3 2" xfId="14263" xr:uid="{0195115F-39C0-4DD0-91D4-EEE82C0A5E38}"/>
    <cellStyle name="20% - Accent3 2 2 2 2 4" xfId="9527" xr:uid="{B82F9F3C-4714-4F10-BEB2-F90FC0563F53}"/>
    <cellStyle name="20% - Accent3 2 2 2 2 5" xfId="10046" xr:uid="{A9C9215A-CF48-49C3-88D5-884815178A84}"/>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3B6FBD59-5FDB-488B-9035-782B45F4D190}"/>
    <cellStyle name="20% - Accent3 2 2 2 3 2 3" xfId="12604" xr:uid="{C1893E1E-1D10-45FE-8F3B-5B11CB4C4B07}"/>
    <cellStyle name="20% - Accent3 2 2 2 3 3" xfId="5350" xr:uid="{00000000-0005-0000-0000-00004C010000}"/>
    <cellStyle name="20% - Accent3 2 2 2 3 3 2" xfId="14676" xr:uid="{4B899BF6-7306-483C-930A-D91EC25454BC}"/>
    <cellStyle name="20% - Accent3 2 2 2 3 4" xfId="10459" xr:uid="{65045607-C1B6-4F2D-AC05-2EB569583C91}"/>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FA0E1BA5-5265-4CF7-803D-60ADBB2229FF}"/>
    <cellStyle name="20% - Accent3 2 2 2 4 2 3" xfId="13017" xr:uid="{59215752-D8A8-4649-A8C1-75C421DFBBDA}"/>
    <cellStyle name="20% - Accent3 2 2 2 4 3" xfId="5763" xr:uid="{00000000-0005-0000-0000-000050010000}"/>
    <cellStyle name="20% - Accent3 2 2 2 4 3 2" xfId="15089" xr:uid="{1EED76A1-6402-4AD4-909F-319D1140A336}"/>
    <cellStyle name="20% - Accent3 2 2 2 4 4" xfId="10872" xr:uid="{FD3CB8E0-DBC7-4785-8A18-C8B51F9E64FA}"/>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1A4E8BB2-49C9-4399-9F9A-66593397388D}"/>
    <cellStyle name="20% - Accent3 2 2 2 5 2 3" xfId="13430" xr:uid="{88C96B69-532C-4D24-9F32-4E49C461E892}"/>
    <cellStyle name="20% - Accent3 2 2 2 5 3" xfId="6176" xr:uid="{00000000-0005-0000-0000-000054010000}"/>
    <cellStyle name="20% - Accent3 2 2 2 5 3 2" xfId="15502" xr:uid="{DE39A341-EE64-46A3-A56E-188F9BDFA92B}"/>
    <cellStyle name="20% - Accent3 2 2 2 5 4" xfId="11285" xr:uid="{BDD63850-39A5-4423-AEAA-931D5263A9BE}"/>
    <cellStyle name="20% - Accent3 2 2 2 6" xfId="2283" xr:uid="{00000000-0005-0000-0000-000055010000}"/>
    <cellStyle name="20% - Accent3 2 2 2 6 2" xfId="6589" xr:uid="{00000000-0005-0000-0000-000056010000}"/>
    <cellStyle name="20% - Accent3 2 2 2 6 2 2" xfId="15915" xr:uid="{D2833E91-08E5-409E-9CB6-6FC48D7AEAEF}"/>
    <cellStyle name="20% - Accent3 2 2 2 6 3" xfId="11698" xr:uid="{339405C2-F0C7-45C1-96C0-EDD3A37E9992}"/>
    <cellStyle name="20% - Accent3 2 2 2 7" xfId="4523" xr:uid="{00000000-0005-0000-0000-000057010000}"/>
    <cellStyle name="20% - Accent3 2 2 2 7 2" xfId="13849" xr:uid="{24F161CD-294A-44C5-9067-970C943A3602}"/>
    <cellStyle name="20% - Accent3 2 2 2 8" xfId="9102" xr:uid="{77698EAD-FDE4-4105-BE80-980B5219F464}"/>
    <cellStyle name="20% - Accent3 2 2 2 9" xfId="9632" xr:uid="{7BE940F0-974D-4E27-8DE5-38E88803A5D2}"/>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B2885151-72AC-4D8C-B957-254AFE43C3E5}"/>
    <cellStyle name="20% - Accent3 2 2 3 2 3" xfId="12190" xr:uid="{6ED2C1B8-719E-4181-A2D3-EC009B42A8CF}"/>
    <cellStyle name="20% - Accent3 2 2 3 3" xfId="4936" xr:uid="{00000000-0005-0000-0000-00005B010000}"/>
    <cellStyle name="20% - Accent3 2 2 3 3 2" xfId="14262" xr:uid="{67A38A2A-CD2C-4870-8857-860902E5BE5E}"/>
    <cellStyle name="20% - Accent3 2 2 3 4" xfId="9320" xr:uid="{BF070B19-D289-4211-B080-DBB621CAE7BA}"/>
    <cellStyle name="20% - Accent3 2 2 3 5" xfId="10045" xr:uid="{B8964CFE-01A2-4A6F-B5CC-0446B236C764}"/>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5D7C7705-A67D-4DF6-804B-B1EE27C50690}"/>
    <cellStyle name="20% - Accent3 2 2 4 2 3" xfId="12603" xr:uid="{FD1E91F3-73F1-4A87-B2D6-C4A859AB7073}"/>
    <cellStyle name="20% - Accent3 2 2 4 3" xfId="5349" xr:uid="{00000000-0005-0000-0000-00005F010000}"/>
    <cellStyle name="20% - Accent3 2 2 4 3 2" xfId="14675" xr:uid="{14DF3BE1-B900-4D47-9CE4-B9EAE0AE6E19}"/>
    <cellStyle name="20% - Accent3 2 2 4 4" xfId="10458" xr:uid="{0DFF8D9C-20C0-4EBF-A897-B10DE40D3111}"/>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F377A358-2B7C-43EC-9B19-47F04C77718D}"/>
    <cellStyle name="20% - Accent3 2 2 5 2 3" xfId="13016" xr:uid="{6168703F-6743-4D9A-81DA-816FD3597517}"/>
    <cellStyle name="20% - Accent3 2 2 5 3" xfId="5762" xr:uid="{00000000-0005-0000-0000-000063010000}"/>
    <cellStyle name="20% - Accent3 2 2 5 3 2" xfId="15088" xr:uid="{3B716C83-445C-4004-BFD8-3B9DD159C276}"/>
    <cellStyle name="20% - Accent3 2 2 5 4" xfId="10871" xr:uid="{F7304E74-B8D2-4FEF-80B8-B8F1CD0158C6}"/>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3CE101DE-4355-4638-B9F7-920653D62806}"/>
    <cellStyle name="20% - Accent3 2 2 6 2 3" xfId="13429" xr:uid="{A3570BF4-2708-4FC5-80E5-DE6F7BCF302D}"/>
    <cellStyle name="20% - Accent3 2 2 6 3" xfId="6175" xr:uid="{00000000-0005-0000-0000-000067010000}"/>
    <cellStyle name="20% - Accent3 2 2 6 3 2" xfId="15501" xr:uid="{5E611A5E-D940-4840-9C8A-2C3B33A63C65}"/>
    <cellStyle name="20% - Accent3 2 2 6 4" xfId="11284" xr:uid="{267FD495-3395-4BC5-BB58-4FB7FF4996C0}"/>
    <cellStyle name="20% - Accent3 2 2 7" xfId="2282" xr:uid="{00000000-0005-0000-0000-000068010000}"/>
    <cellStyle name="20% - Accent3 2 2 7 2" xfId="6588" xr:uid="{00000000-0005-0000-0000-000069010000}"/>
    <cellStyle name="20% - Accent3 2 2 7 2 2" xfId="15914" xr:uid="{51923D34-07C9-4998-BFFD-E1BC736F1A3A}"/>
    <cellStyle name="20% - Accent3 2 2 7 3" xfId="11697" xr:uid="{98080F3A-64F9-4D57-9CDA-34916CE86CBF}"/>
    <cellStyle name="20% - Accent3 2 2 8" xfId="4522" xr:uid="{00000000-0005-0000-0000-00006A010000}"/>
    <cellStyle name="20% - Accent3 2 2 8 2" xfId="13848" xr:uid="{16CF754C-B59F-49D3-BB2C-214D636996B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DF6374F5-4C16-415D-B7F1-FA79B826C1C2}"/>
    <cellStyle name="20% - Accent3 2 3 2 2 3" xfId="12192" xr:uid="{31F49E13-DE2C-4193-B28E-1570A63E444D}"/>
    <cellStyle name="20% - Accent3 2 3 2 3" xfId="4938" xr:uid="{00000000-0005-0000-0000-00006F010000}"/>
    <cellStyle name="20% - Accent3 2 3 2 3 2" xfId="14264" xr:uid="{2F4441EE-F10E-43D3-A151-4848DFA1C947}"/>
    <cellStyle name="20% - Accent3 2 3 2 4" xfId="9424" xr:uid="{C3588D98-6F24-4F2C-9F96-F34501405613}"/>
    <cellStyle name="20% - Accent3 2 3 2 5" xfId="10047" xr:uid="{41FD501C-30A6-4631-8FAC-CB395E832EAB}"/>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9FAF7092-32A9-4FC7-914B-FD631C8C2D85}"/>
    <cellStyle name="20% - Accent3 2 3 3 2 3" xfId="12605" xr:uid="{C0A4B167-542A-4FF5-897E-5683C1534B7A}"/>
    <cellStyle name="20% - Accent3 2 3 3 3" xfId="5351" xr:uid="{00000000-0005-0000-0000-000073010000}"/>
    <cellStyle name="20% - Accent3 2 3 3 3 2" xfId="14677" xr:uid="{5B7E5F1D-3D5C-4FC3-BC60-CAA901B71695}"/>
    <cellStyle name="20% - Accent3 2 3 3 4" xfId="10460" xr:uid="{26CD673E-3F7A-4EE6-B88D-F6DE4A30428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91C52498-0DDE-44F0-9CE4-8A7195A04AA1}"/>
    <cellStyle name="20% - Accent3 2 3 4 2 3" xfId="13018" xr:uid="{A06C6A30-45E9-4432-B946-DBF683B0291F}"/>
    <cellStyle name="20% - Accent3 2 3 4 3" xfId="5764" xr:uid="{00000000-0005-0000-0000-000077010000}"/>
    <cellStyle name="20% - Accent3 2 3 4 3 2" xfId="15090" xr:uid="{8AE703BB-304B-4C9E-AA02-7BC1D02CD9E8}"/>
    <cellStyle name="20% - Accent3 2 3 4 4" xfId="10873" xr:uid="{46722B4D-D747-45CE-A30D-5D28C65F59F0}"/>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5C3A4F91-9EEC-47EF-BC69-2A101FB46491}"/>
    <cellStyle name="20% - Accent3 2 3 5 2 3" xfId="13431" xr:uid="{1208FFD8-ABA5-4FB5-8642-F899CC9EAB11}"/>
    <cellStyle name="20% - Accent3 2 3 5 3" xfId="6177" xr:uid="{00000000-0005-0000-0000-00007B010000}"/>
    <cellStyle name="20% - Accent3 2 3 5 3 2" xfId="15503" xr:uid="{8EC4CC00-3E39-4C91-839B-F694C0CFF003}"/>
    <cellStyle name="20% - Accent3 2 3 5 4" xfId="11286" xr:uid="{C80EEC7E-320F-4134-8F1A-04A90A217A56}"/>
    <cellStyle name="20% - Accent3 2 3 6" xfId="2284" xr:uid="{00000000-0005-0000-0000-00007C010000}"/>
    <cellStyle name="20% - Accent3 2 3 6 2" xfId="6590" xr:uid="{00000000-0005-0000-0000-00007D010000}"/>
    <cellStyle name="20% - Accent3 2 3 6 2 2" xfId="15916" xr:uid="{85E3CAD4-6967-4624-83EF-D47F8038D68E}"/>
    <cellStyle name="20% - Accent3 2 3 6 3" xfId="11699" xr:uid="{AC37930F-7A0C-480A-93E2-369681C8CCB7}"/>
    <cellStyle name="20% - Accent3 2 3 7" xfId="4524" xr:uid="{00000000-0005-0000-0000-00007E010000}"/>
    <cellStyle name="20% - Accent3 2 3 7 2" xfId="13850" xr:uid="{3D7D5BA8-FD84-4928-95D2-227A87851912}"/>
    <cellStyle name="20% - Accent3 2 3 8" xfId="8999" xr:uid="{2B5D0148-B6EA-4DEA-92B1-644886C27051}"/>
    <cellStyle name="20% - Accent3 2 3 9" xfId="9633" xr:uid="{99EB0F04-1D1B-4678-B96A-FE9EC584BA13}"/>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33DF69F5-6F1B-41DA-9A63-CD020CA3F357}"/>
    <cellStyle name="20% - Accent3 2 4 2 3" xfId="12189" xr:uid="{FB8100B4-E0B8-44BA-BF38-870BEDC4DD61}"/>
    <cellStyle name="20% - Accent3 2 4 3" xfId="4935" xr:uid="{00000000-0005-0000-0000-000082010000}"/>
    <cellStyle name="20% - Accent3 2 4 3 2" xfId="14261" xr:uid="{53D17137-B4C8-4E61-A7C8-4894DC314E10}"/>
    <cellStyle name="20% - Accent3 2 4 4" xfId="9216" xr:uid="{A12C3877-5492-4CD3-AD22-81B3F0AB1EDD}"/>
    <cellStyle name="20% - Accent3 2 4 5" xfId="10044" xr:uid="{7CF15F95-3883-4CFE-9B0D-3D0F28082A22}"/>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2B066AA4-DFD9-4DF4-A7D4-E5509B8181E2}"/>
    <cellStyle name="20% - Accent3 2 5 2 3" xfId="12602" xr:uid="{C7DA9448-15BC-4DAD-BBA6-D0101EDA05CF}"/>
    <cellStyle name="20% - Accent3 2 5 3" xfId="5348" xr:uid="{00000000-0005-0000-0000-000086010000}"/>
    <cellStyle name="20% - Accent3 2 5 3 2" xfId="14674" xr:uid="{8459B8F7-1F84-4368-BE2C-320A5AB940F2}"/>
    <cellStyle name="20% - Accent3 2 5 4" xfId="10457" xr:uid="{F05F5268-FDBD-4703-97CB-4CA403C182A7}"/>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EE2B4625-5E3E-418D-89A7-1251C37C4A1C}"/>
    <cellStyle name="20% - Accent3 2 6 2 3" xfId="13015" xr:uid="{ECF90DFD-3D70-4BE0-90D9-CD6D6A9A43B8}"/>
    <cellStyle name="20% - Accent3 2 6 3" xfId="5761" xr:uid="{00000000-0005-0000-0000-00008A010000}"/>
    <cellStyle name="20% - Accent3 2 6 3 2" xfId="15087" xr:uid="{6B8F3B5F-45E0-4383-82C1-78B635DD48CD}"/>
    <cellStyle name="20% - Accent3 2 6 4" xfId="10870" xr:uid="{A784ABEA-C076-4E2D-9412-3CB95C9D76A1}"/>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C1F59E4D-B439-4E49-8EBC-7BD117BF7FAD}"/>
    <cellStyle name="20% - Accent3 2 7 2 3" xfId="13428" xr:uid="{AB05ADC4-60B4-4EC6-A2CA-9643B5059205}"/>
    <cellStyle name="20% - Accent3 2 7 3" xfId="6174" xr:uid="{00000000-0005-0000-0000-00008E010000}"/>
    <cellStyle name="20% - Accent3 2 7 3 2" xfId="15500" xr:uid="{5AEF4851-9B7E-4E95-8CC3-D38F8B3521C6}"/>
    <cellStyle name="20% - Accent3 2 7 4" xfId="11283" xr:uid="{94B4FFFF-B9E8-48FB-8F9D-B926C6FDFE9A}"/>
    <cellStyle name="20% - Accent3 2 8" xfId="2281" xr:uid="{00000000-0005-0000-0000-00008F010000}"/>
    <cellStyle name="20% - Accent3 2 8 2" xfId="6587" xr:uid="{00000000-0005-0000-0000-000090010000}"/>
    <cellStyle name="20% - Accent3 2 8 2 2" xfId="15913" xr:uid="{1088CC16-F5FE-489C-9649-EE8CA663770E}"/>
    <cellStyle name="20% - Accent3 2 8 3" xfId="11696" xr:uid="{B8E533D3-70A6-42DA-8B92-4D41345921E7}"/>
    <cellStyle name="20% - Accent3 2 9" xfId="4521" xr:uid="{00000000-0005-0000-0000-000091010000}"/>
    <cellStyle name="20% - Accent3 2 9 2" xfId="13847" xr:uid="{84D73C6A-6374-49C0-BCAD-C554BB36E8AD}"/>
    <cellStyle name="20% - Accent3 3" xfId="22" xr:uid="{00000000-0005-0000-0000-000092010000}"/>
    <cellStyle name="20% - Accent3 3 10" xfId="9634" xr:uid="{43467B26-C061-416F-8966-9907AEA371C4}"/>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605C7BCA-F655-4316-B897-F304E7C144FC}"/>
    <cellStyle name="20% - Accent3 3 2 2 2 3" xfId="12194" xr:uid="{D9F9DF62-812D-40C8-872B-BF2A86B3387C}"/>
    <cellStyle name="20% - Accent3 3 2 2 3" xfId="4940" xr:uid="{00000000-0005-0000-0000-000097010000}"/>
    <cellStyle name="20% - Accent3 3 2 2 3 2" xfId="14266" xr:uid="{F68A2D49-3174-43CE-914F-6BF2A2B4AABA}"/>
    <cellStyle name="20% - Accent3 3 2 2 4" xfId="9497" xr:uid="{43A0E151-F418-49A1-AF18-121DEB02B6D4}"/>
    <cellStyle name="20% - Accent3 3 2 2 5" xfId="10049" xr:uid="{9810FC71-F326-432A-8EF1-703F35F7A516}"/>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4D6E9E97-7EEC-4DCE-8940-5EE9C78BAB7C}"/>
    <cellStyle name="20% - Accent3 3 2 3 2 3" xfId="12607" xr:uid="{18B26987-82CC-4850-A657-9D9E5E8CD085}"/>
    <cellStyle name="20% - Accent3 3 2 3 3" xfId="5353" xr:uid="{00000000-0005-0000-0000-00009B010000}"/>
    <cellStyle name="20% - Accent3 3 2 3 3 2" xfId="14679" xr:uid="{353E11BD-A9EC-4664-AEB7-73533B84A0B8}"/>
    <cellStyle name="20% - Accent3 3 2 3 4" xfId="10462" xr:uid="{4745C7A6-BB04-4F06-93BD-C11D98C0D3BE}"/>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AB64EA19-DFD8-4FB6-A486-35C0EF2FB2F6}"/>
    <cellStyle name="20% - Accent3 3 2 4 2 3" xfId="13020" xr:uid="{118EC124-A435-481A-84C4-575E2D3F0E23}"/>
    <cellStyle name="20% - Accent3 3 2 4 3" xfId="5766" xr:uid="{00000000-0005-0000-0000-00009F010000}"/>
    <cellStyle name="20% - Accent3 3 2 4 3 2" xfId="15092" xr:uid="{DFEBCDE0-9C0F-4763-A323-95C8F50721F4}"/>
    <cellStyle name="20% - Accent3 3 2 4 4" xfId="10875" xr:uid="{5ABF279A-5B1E-4E0F-A3E6-9F35F1C8F0BC}"/>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BD124F98-3FA1-4728-B490-7A5A5ADF9DE6}"/>
    <cellStyle name="20% - Accent3 3 2 5 2 3" xfId="13433" xr:uid="{6C36F4A1-1365-4DB7-8431-D29866058396}"/>
    <cellStyle name="20% - Accent3 3 2 5 3" xfId="6179" xr:uid="{00000000-0005-0000-0000-0000A3010000}"/>
    <cellStyle name="20% - Accent3 3 2 5 3 2" xfId="15505" xr:uid="{A16F1BEE-9EFF-4267-A83E-285CD76D302E}"/>
    <cellStyle name="20% - Accent3 3 2 5 4" xfId="11288" xr:uid="{6854A6BE-2880-4CCB-A943-639DDC7F3C0E}"/>
    <cellStyle name="20% - Accent3 3 2 6" xfId="2286" xr:uid="{00000000-0005-0000-0000-0000A4010000}"/>
    <cellStyle name="20% - Accent3 3 2 6 2" xfId="6592" xr:uid="{00000000-0005-0000-0000-0000A5010000}"/>
    <cellStyle name="20% - Accent3 3 2 6 2 2" xfId="15918" xr:uid="{E9D73F63-5F14-405D-8C8C-74DBE474682E}"/>
    <cellStyle name="20% - Accent3 3 2 6 3" xfId="11701" xr:uid="{95AC2D99-919B-41D5-98B7-9B94FE99C800}"/>
    <cellStyle name="20% - Accent3 3 2 7" xfId="4526" xr:uid="{00000000-0005-0000-0000-0000A6010000}"/>
    <cellStyle name="20% - Accent3 3 2 7 2" xfId="13852" xr:uid="{9710EFB2-CCC2-494C-97C0-5DA0FD108D98}"/>
    <cellStyle name="20% - Accent3 3 2 8" xfId="9072" xr:uid="{422EC144-F6F8-460E-8B93-316BBF9707FB}"/>
    <cellStyle name="20% - Accent3 3 2 9" xfId="9635" xr:uid="{8F61D5B8-43AF-43FF-B6E5-4C8DE0C8016A}"/>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D718A38E-31BC-4F43-A5A9-62C38C5E19FF}"/>
    <cellStyle name="20% - Accent3 3 3 2 3" xfId="12193" xr:uid="{FFFA7712-9522-4A6E-B830-8FDCE0AB8CEC}"/>
    <cellStyle name="20% - Accent3 3 3 3" xfId="4939" xr:uid="{00000000-0005-0000-0000-0000AA010000}"/>
    <cellStyle name="20% - Accent3 3 3 3 2" xfId="14265" xr:uid="{D2AEC928-1141-43C0-BF17-2CA9DBD3938F}"/>
    <cellStyle name="20% - Accent3 3 3 4" xfId="9290" xr:uid="{8511D0A3-BAF4-4D49-BFEA-2ED828678819}"/>
    <cellStyle name="20% - Accent3 3 3 5" xfId="10048" xr:uid="{77E88356-D604-4BA6-8760-59DBD4677753}"/>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6C5C179A-5ED6-4845-B994-43CC76CEA83C}"/>
    <cellStyle name="20% - Accent3 3 4 2 3" xfId="12606" xr:uid="{AE25E935-9369-48D1-8684-A427EA486D3D}"/>
    <cellStyle name="20% - Accent3 3 4 3" xfId="5352" xr:uid="{00000000-0005-0000-0000-0000AE010000}"/>
    <cellStyle name="20% - Accent3 3 4 3 2" xfId="14678" xr:uid="{70A29E57-051C-4FFE-8007-7DD33A522FB3}"/>
    <cellStyle name="20% - Accent3 3 4 4" xfId="10461" xr:uid="{7DBB1157-529E-48E7-8AEF-962BF927E7DC}"/>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B3C7A2DB-87AF-4AAA-B8DD-75CF5FF21A2A}"/>
    <cellStyle name="20% - Accent3 3 5 2 3" xfId="13019" xr:uid="{A6A6AC8D-D9C0-47F4-AEAA-F7FFE38D686E}"/>
    <cellStyle name="20% - Accent3 3 5 3" xfId="5765" xr:uid="{00000000-0005-0000-0000-0000B2010000}"/>
    <cellStyle name="20% - Accent3 3 5 3 2" xfId="15091" xr:uid="{5B100D37-B62C-4DC9-848A-05426F0D3ABE}"/>
    <cellStyle name="20% - Accent3 3 5 4" xfId="10874" xr:uid="{AB691675-D748-40A9-8140-CF625EB120D0}"/>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DC0D59ED-8302-401C-8629-9BBB8438A485}"/>
    <cellStyle name="20% - Accent3 3 6 2 3" xfId="13432" xr:uid="{3E3E549A-F8E9-420C-9EBC-D18E0C5404E9}"/>
    <cellStyle name="20% - Accent3 3 6 3" xfId="6178" xr:uid="{00000000-0005-0000-0000-0000B6010000}"/>
    <cellStyle name="20% - Accent3 3 6 3 2" xfId="15504" xr:uid="{9A5EEA4A-C055-4AA7-B3AC-2DA6D2E3592A}"/>
    <cellStyle name="20% - Accent3 3 6 4" xfId="11287" xr:uid="{C7372B0B-6AA9-49C1-AA07-8A6AEE6369F8}"/>
    <cellStyle name="20% - Accent3 3 7" xfId="2285" xr:uid="{00000000-0005-0000-0000-0000B7010000}"/>
    <cellStyle name="20% - Accent3 3 7 2" xfId="6591" xr:uid="{00000000-0005-0000-0000-0000B8010000}"/>
    <cellStyle name="20% - Accent3 3 7 2 2" xfId="15917" xr:uid="{71BC70FA-EFA4-459F-914D-A334A6BC381C}"/>
    <cellStyle name="20% - Accent3 3 7 3" xfId="11700" xr:uid="{CB860474-3C5A-4D27-B476-F026ECFA616F}"/>
    <cellStyle name="20% - Accent3 3 8" xfId="4525" xr:uid="{00000000-0005-0000-0000-0000B9010000}"/>
    <cellStyle name="20% - Accent3 3 8 2" xfId="13851" xr:uid="{C1C84468-068B-4EF9-8AFF-BC66DEAD72E5}"/>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487CF023-2DE1-4187-8F72-4F07A310A9A9}"/>
    <cellStyle name="20% - Accent3 4 2 2 3" xfId="12195" xr:uid="{BADD5E53-901C-4C4D-B0E7-DC17ADB1354F}"/>
    <cellStyle name="20% - Accent3 4 2 3" xfId="4941" xr:uid="{00000000-0005-0000-0000-0000BE010000}"/>
    <cellStyle name="20% - Accent3 4 2 3 2" xfId="14267" xr:uid="{5145E506-00D4-4CA1-A05F-78E8F37B4DD3}"/>
    <cellStyle name="20% - Accent3 4 2 4" xfId="9376" xr:uid="{92AC27CA-0B0B-4AFE-8457-D3F19BE2837F}"/>
    <cellStyle name="20% - Accent3 4 2 5" xfId="10050" xr:uid="{A79A5A46-6C41-43C6-854D-CDAD754F5A24}"/>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19FDDBCD-CA0E-4523-BC46-0DF1E0002267}"/>
    <cellStyle name="20% - Accent3 4 3 2 3" xfId="12608" xr:uid="{1A91D059-9445-4D88-8349-214CBA7B33B2}"/>
    <cellStyle name="20% - Accent3 4 3 3" xfId="5354" xr:uid="{00000000-0005-0000-0000-0000C2010000}"/>
    <cellStyle name="20% - Accent3 4 3 3 2" xfId="14680" xr:uid="{F02F47BE-C92D-4333-9ADA-9D991C6AACAC}"/>
    <cellStyle name="20% - Accent3 4 3 4" xfId="10463" xr:uid="{2D0230EF-91A8-4DC4-842C-6904542B140E}"/>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7AF27400-486A-42A2-A238-A2653E9072EC}"/>
    <cellStyle name="20% - Accent3 4 4 2 3" xfId="13021" xr:uid="{B9A5C6BC-1977-4362-9D2B-EB11C2B0D002}"/>
    <cellStyle name="20% - Accent3 4 4 3" xfId="5767" xr:uid="{00000000-0005-0000-0000-0000C6010000}"/>
    <cellStyle name="20% - Accent3 4 4 3 2" xfId="15093" xr:uid="{C9F3556D-F848-4F13-AC10-1DEF092915DB}"/>
    <cellStyle name="20% - Accent3 4 4 4" xfId="10876" xr:uid="{03CC1A6C-6900-4FE4-88E7-EC2F90FDC0C7}"/>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FEE3535F-BEA7-4C2D-A8E8-A41085DA0B17}"/>
    <cellStyle name="20% - Accent3 4 5 2 3" xfId="13434" xr:uid="{DB07E6F2-2C00-48FF-8E71-2CF81712F5AB}"/>
    <cellStyle name="20% - Accent3 4 5 3" xfId="6180" xr:uid="{00000000-0005-0000-0000-0000CA010000}"/>
    <cellStyle name="20% - Accent3 4 5 3 2" xfId="15506" xr:uid="{ACF2931E-6093-4C74-A9F5-17B16D8FC750}"/>
    <cellStyle name="20% - Accent3 4 5 4" xfId="11289" xr:uid="{A87F790E-8CBD-45C9-861A-66CE9D664BB3}"/>
    <cellStyle name="20% - Accent3 4 6" xfId="2287" xr:uid="{00000000-0005-0000-0000-0000CB010000}"/>
    <cellStyle name="20% - Accent3 4 6 2" xfId="6593" xr:uid="{00000000-0005-0000-0000-0000CC010000}"/>
    <cellStyle name="20% - Accent3 4 6 2 2" xfId="15919" xr:uid="{A7426BCD-69F4-4FC9-AB81-0983171839F4}"/>
    <cellStyle name="20% - Accent3 4 6 3" xfId="11702" xr:uid="{393D2993-21B3-4EF6-83E9-A5F237865BB2}"/>
    <cellStyle name="20% - Accent3 4 7" xfId="4527" xr:uid="{00000000-0005-0000-0000-0000CD010000}"/>
    <cellStyle name="20% - Accent3 4 7 2" xfId="13853" xr:uid="{0B43B57C-61F4-4E60-AEFD-F9C2BDD2533E}"/>
    <cellStyle name="20% - Accent3 4 8" xfId="8951" xr:uid="{3CB7770B-4F12-4C44-B65D-06C641FEE851}"/>
    <cellStyle name="20% - Accent3 4 9" xfId="9636" xr:uid="{3B10DE20-5826-4DB3-A58F-43D3D20E6DE2}"/>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F9D4369F-AB4D-4841-88B0-79C205A12D20}"/>
    <cellStyle name="20% - Accent3 5 2 3" xfId="12188" xr:uid="{397C3E3C-7B68-49D0-A465-20E3FD67AB43}"/>
    <cellStyle name="20% - Accent3 5 3" xfId="4934" xr:uid="{00000000-0005-0000-0000-0000D1010000}"/>
    <cellStyle name="20% - Accent3 5 3 2" xfId="14260" xr:uid="{8D70CEC0-2C9C-49EC-95B5-B2CF30152F9E}"/>
    <cellStyle name="20% - Accent3 5 4" xfId="9184" xr:uid="{F51B2D95-9593-4370-A6D2-AFEF087D7920}"/>
    <cellStyle name="20% - Accent3 5 5" xfId="10043" xr:uid="{F961A785-609B-4BAC-8637-38B3F065B4C1}"/>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A8D13704-91ED-4E81-B0AA-87AF68A8822C}"/>
    <cellStyle name="20% - Accent3 6 2 3" xfId="12601" xr:uid="{F04FA008-868D-49A2-9170-84D108DEA679}"/>
    <cellStyle name="20% - Accent3 6 3" xfId="5347" xr:uid="{00000000-0005-0000-0000-0000D5010000}"/>
    <cellStyle name="20% - Accent3 6 3 2" xfId="14673" xr:uid="{CA6D3185-03B8-45CE-A4EF-46FD7328ACC3}"/>
    <cellStyle name="20% - Accent3 6 4" xfId="10456" xr:uid="{16FAA599-45AA-4DE8-B0C1-DB29A94F1303}"/>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7B60C62B-D305-4FB0-A969-564AA93C6802}"/>
    <cellStyle name="20% - Accent3 7 2 3" xfId="13014" xr:uid="{485BA783-70E7-42BB-9C7D-F3E858206236}"/>
    <cellStyle name="20% - Accent3 7 3" xfId="5760" xr:uid="{00000000-0005-0000-0000-0000D9010000}"/>
    <cellStyle name="20% - Accent3 7 3 2" xfId="15086" xr:uid="{5DD3781E-D259-4A02-AA38-92FC67DCBABD}"/>
    <cellStyle name="20% - Accent3 7 4" xfId="10869" xr:uid="{EA26281D-3311-47C4-A526-4F252AC93069}"/>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E7876E5E-63E6-4F7B-BA4A-479449969667}"/>
    <cellStyle name="20% - Accent3 8 2 3" xfId="13427" xr:uid="{F64B010F-A776-44DC-AB42-496726638DC1}"/>
    <cellStyle name="20% - Accent3 8 3" xfId="6173" xr:uid="{00000000-0005-0000-0000-0000DD010000}"/>
    <cellStyle name="20% - Accent3 8 3 2" xfId="15499" xr:uid="{326210B3-AD0B-462F-9F6B-AE1D4A6D14BC}"/>
    <cellStyle name="20% - Accent3 8 4" xfId="11282" xr:uid="{2DF6CA70-B774-4EE3-9138-44C48772C68A}"/>
    <cellStyle name="20% - Accent3 9" xfId="2280" xr:uid="{00000000-0005-0000-0000-0000DE010000}"/>
    <cellStyle name="20% - Accent3 9 2" xfId="6586" xr:uid="{00000000-0005-0000-0000-0000DF010000}"/>
    <cellStyle name="20% - Accent3 9 2 2" xfId="15912" xr:uid="{1CA58B95-C60C-40E8-AE53-08CF00505193}"/>
    <cellStyle name="20% - Accent3 9 3" xfId="11695" xr:uid="{A6A1515B-28C7-4615-9FF2-C67E9479D778}"/>
    <cellStyle name="20% - Accent4" xfId="25" builtinId="42" customBuiltin="1"/>
    <cellStyle name="20% - Accent4 10" xfId="4528" xr:uid="{00000000-0005-0000-0000-0000E1010000}"/>
    <cellStyle name="20% - Accent4 10 2" xfId="13854" xr:uid="{1FE9A24C-0876-4E3E-A228-789089AB9B8A}"/>
    <cellStyle name="20% - Accent4 11" xfId="8764" xr:uid="{4A9BF508-806C-496D-AEC5-5842E4A62892}"/>
    <cellStyle name="20% - Accent4 12" xfId="9637" xr:uid="{B119B990-628C-4134-856B-A05D4A3D685E}"/>
    <cellStyle name="20% - Accent4 2" xfId="26" xr:uid="{00000000-0005-0000-0000-0000E2010000}"/>
    <cellStyle name="20% - Accent4 2 10" xfId="8794" xr:uid="{31A2F477-5237-45C2-B43F-25AC049A95FF}"/>
    <cellStyle name="20% - Accent4 2 11" xfId="9638" xr:uid="{EED8E735-5D1A-4037-B636-61BFF750E6FE}"/>
    <cellStyle name="20% - Accent4 2 2" xfId="27" xr:uid="{00000000-0005-0000-0000-0000E3010000}"/>
    <cellStyle name="20% - Accent4 2 2 10" xfId="9639" xr:uid="{05F6863F-B236-4D1B-8908-AD1AE93213CB}"/>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04F38747-1705-493D-8CBF-80037FB1DF25}"/>
    <cellStyle name="20% - Accent4 2 2 2 2 2 3" xfId="12199" xr:uid="{CA45E3EC-318C-4A1E-A65E-BFA849CE990E}"/>
    <cellStyle name="20% - Accent4 2 2 2 2 3" xfId="4945" xr:uid="{00000000-0005-0000-0000-0000E8010000}"/>
    <cellStyle name="20% - Accent4 2 2 2 2 3 2" xfId="14271" xr:uid="{CB98192E-3C9F-4A20-842E-A5C168DCF515}"/>
    <cellStyle name="20% - Accent4 2 2 2 2 4" xfId="9529" xr:uid="{0C40CE19-1873-4316-818D-CC943AAFBB7B}"/>
    <cellStyle name="20% - Accent4 2 2 2 2 5" xfId="10054" xr:uid="{B80A2AEC-9672-4B23-8FA0-A955BE48D7D1}"/>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F1BAC24A-2D2B-4E17-BB25-CCE3075EBAC3}"/>
    <cellStyle name="20% - Accent4 2 2 2 3 2 3" xfId="12612" xr:uid="{9ED13750-C175-469B-9BA2-354E17DEA6BA}"/>
    <cellStyle name="20% - Accent4 2 2 2 3 3" xfId="5358" xr:uid="{00000000-0005-0000-0000-0000EC010000}"/>
    <cellStyle name="20% - Accent4 2 2 2 3 3 2" xfId="14684" xr:uid="{A9BB7640-7DCA-41D0-B44C-6A229B31BFC8}"/>
    <cellStyle name="20% - Accent4 2 2 2 3 4" xfId="10467" xr:uid="{5B64A23C-FE07-4F39-A9BF-8DFBED2D2747}"/>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7F0A9808-FFDB-493C-896C-9364C8E01185}"/>
    <cellStyle name="20% - Accent4 2 2 2 4 2 3" xfId="13025" xr:uid="{36B3C154-6213-4E2E-A853-914FD4A02FA2}"/>
    <cellStyle name="20% - Accent4 2 2 2 4 3" xfId="5771" xr:uid="{00000000-0005-0000-0000-0000F0010000}"/>
    <cellStyle name="20% - Accent4 2 2 2 4 3 2" xfId="15097" xr:uid="{99BAC5E7-F81C-40D8-98B3-D0D08BC30827}"/>
    <cellStyle name="20% - Accent4 2 2 2 4 4" xfId="10880" xr:uid="{3FA751EA-D637-4FDF-BF20-A62AD810A1ED}"/>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80D1E70C-7821-4113-BBF4-606BC1407045}"/>
    <cellStyle name="20% - Accent4 2 2 2 5 2 3" xfId="13438" xr:uid="{C2FEB2CA-A795-49E5-9340-A2E08C897CC4}"/>
    <cellStyle name="20% - Accent4 2 2 2 5 3" xfId="6184" xr:uid="{00000000-0005-0000-0000-0000F4010000}"/>
    <cellStyle name="20% - Accent4 2 2 2 5 3 2" xfId="15510" xr:uid="{290B4E54-1C9F-4596-B43A-86AAAB65F99B}"/>
    <cellStyle name="20% - Accent4 2 2 2 5 4" xfId="11293" xr:uid="{F607E6A2-ECD2-445A-A769-482EB5D24ECA}"/>
    <cellStyle name="20% - Accent4 2 2 2 6" xfId="2291" xr:uid="{00000000-0005-0000-0000-0000F5010000}"/>
    <cellStyle name="20% - Accent4 2 2 2 6 2" xfId="6597" xr:uid="{00000000-0005-0000-0000-0000F6010000}"/>
    <cellStyle name="20% - Accent4 2 2 2 6 2 2" xfId="15923" xr:uid="{E3AAED95-1035-4DA1-BC4E-642CC5AC6211}"/>
    <cellStyle name="20% - Accent4 2 2 2 6 3" xfId="11706" xr:uid="{5B154141-98EF-4839-A64E-549567838D14}"/>
    <cellStyle name="20% - Accent4 2 2 2 7" xfId="4531" xr:uid="{00000000-0005-0000-0000-0000F7010000}"/>
    <cellStyle name="20% - Accent4 2 2 2 7 2" xfId="13857" xr:uid="{57D8BFCB-21FC-480D-9086-831450710799}"/>
    <cellStyle name="20% - Accent4 2 2 2 8" xfId="9104" xr:uid="{526BE306-22BA-4A85-81B2-34AEB56F0D90}"/>
    <cellStyle name="20% - Accent4 2 2 2 9" xfId="9640" xr:uid="{CAE64910-DA84-487E-80CD-5829B34B565C}"/>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9DEB9802-5215-45E2-8004-05D595C8A627}"/>
    <cellStyle name="20% - Accent4 2 2 3 2 3" xfId="12198" xr:uid="{A12EED00-EB36-44EB-98A2-19F105DD1519}"/>
    <cellStyle name="20% - Accent4 2 2 3 3" xfId="4944" xr:uid="{00000000-0005-0000-0000-0000FB010000}"/>
    <cellStyle name="20% - Accent4 2 2 3 3 2" xfId="14270" xr:uid="{3EFB946C-CC10-4C2E-B0B4-B8D3F2ABF05E}"/>
    <cellStyle name="20% - Accent4 2 2 3 4" xfId="9322" xr:uid="{003BBE99-27AA-4036-A373-4475953A88F4}"/>
    <cellStyle name="20% - Accent4 2 2 3 5" xfId="10053" xr:uid="{E95E2539-7747-4AD0-B2B2-50DD5C425837}"/>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80CD227F-CFBC-497A-B39F-3E2BED63CB72}"/>
    <cellStyle name="20% - Accent4 2 2 4 2 3" xfId="12611" xr:uid="{E6228501-DFA7-4F1F-8122-1262F23A36D8}"/>
    <cellStyle name="20% - Accent4 2 2 4 3" xfId="5357" xr:uid="{00000000-0005-0000-0000-0000FF010000}"/>
    <cellStyle name="20% - Accent4 2 2 4 3 2" xfId="14683" xr:uid="{5244C17D-90A0-4982-B449-6B7D170C082B}"/>
    <cellStyle name="20% - Accent4 2 2 4 4" xfId="10466" xr:uid="{5812B3F5-DE1E-4C0A-A5A8-B4E4336DBB07}"/>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33281742-1941-499F-8059-854CCD32C72C}"/>
    <cellStyle name="20% - Accent4 2 2 5 2 3" xfId="13024" xr:uid="{753BE7E6-E230-4F22-A69D-3F7CF0AE2667}"/>
    <cellStyle name="20% - Accent4 2 2 5 3" xfId="5770" xr:uid="{00000000-0005-0000-0000-000003020000}"/>
    <cellStyle name="20% - Accent4 2 2 5 3 2" xfId="15096" xr:uid="{1DFCD5C1-7E4B-4A80-A320-12C3CBB5B428}"/>
    <cellStyle name="20% - Accent4 2 2 5 4" xfId="10879" xr:uid="{F059E9BA-90DD-4AC2-8011-795742A70E62}"/>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3D5F1D57-4BD8-4CCA-B314-7E30D1B4937F}"/>
    <cellStyle name="20% - Accent4 2 2 6 2 3" xfId="13437" xr:uid="{F4817BD6-50BD-48E2-930A-63B88038590F}"/>
    <cellStyle name="20% - Accent4 2 2 6 3" xfId="6183" xr:uid="{00000000-0005-0000-0000-000007020000}"/>
    <cellStyle name="20% - Accent4 2 2 6 3 2" xfId="15509" xr:uid="{640255D7-7E0E-4024-9F1C-95B76A4E3EAA}"/>
    <cellStyle name="20% - Accent4 2 2 6 4" xfId="11292" xr:uid="{C2595687-0AAA-4D37-AD84-4C7C144292D0}"/>
    <cellStyle name="20% - Accent4 2 2 7" xfId="2290" xr:uid="{00000000-0005-0000-0000-000008020000}"/>
    <cellStyle name="20% - Accent4 2 2 7 2" xfId="6596" xr:uid="{00000000-0005-0000-0000-000009020000}"/>
    <cellStyle name="20% - Accent4 2 2 7 2 2" xfId="15922" xr:uid="{DA2A97C4-C3FF-4A1C-BF39-5B13E58C0510}"/>
    <cellStyle name="20% - Accent4 2 2 7 3" xfId="11705" xr:uid="{5289E34A-3CFF-4FBA-A91B-F51FC906E6F8}"/>
    <cellStyle name="20% - Accent4 2 2 8" xfId="4530" xr:uid="{00000000-0005-0000-0000-00000A020000}"/>
    <cellStyle name="20% - Accent4 2 2 8 2" xfId="13856" xr:uid="{2EEDA419-68C6-4FF3-BDAF-C92BC0F83825}"/>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75C5687F-A327-429F-8061-7B5F18D7053B}"/>
    <cellStyle name="20% - Accent4 2 3 2 2 3" xfId="12200" xr:uid="{89FD03E3-C3D1-4B61-9881-020C8A9CCCC4}"/>
    <cellStyle name="20% - Accent4 2 3 2 3" xfId="4946" xr:uid="{00000000-0005-0000-0000-00000F020000}"/>
    <cellStyle name="20% - Accent4 2 3 2 3 2" xfId="14272" xr:uid="{B2A4A93F-82D2-47DF-A183-78D02F85E0E6}"/>
    <cellStyle name="20% - Accent4 2 3 2 4" xfId="9426" xr:uid="{5B247D51-FBFD-4799-8395-E3F1C04297B8}"/>
    <cellStyle name="20% - Accent4 2 3 2 5" xfId="10055" xr:uid="{90A56805-3F3F-4CC7-911C-F47436B79B53}"/>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EA1DA430-CA06-4EDB-8E64-3C90580A32FC}"/>
    <cellStyle name="20% - Accent4 2 3 3 2 3" xfId="12613" xr:uid="{9E4E696F-1A5B-45C6-BCFA-464FC4E94AF1}"/>
    <cellStyle name="20% - Accent4 2 3 3 3" xfId="5359" xr:uid="{00000000-0005-0000-0000-000013020000}"/>
    <cellStyle name="20% - Accent4 2 3 3 3 2" xfId="14685" xr:uid="{CFBF9736-AA6A-4541-A6AE-C76B2B02D466}"/>
    <cellStyle name="20% - Accent4 2 3 3 4" xfId="10468" xr:uid="{1D311128-A87A-4E7F-BE77-204B0DEDB358}"/>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28B01DFD-1AC6-4F36-925F-CF011AAE84B6}"/>
    <cellStyle name="20% - Accent4 2 3 4 2 3" xfId="13026" xr:uid="{DEB4D5D8-0304-4EDD-8DA7-FC8170FDC70B}"/>
    <cellStyle name="20% - Accent4 2 3 4 3" xfId="5772" xr:uid="{00000000-0005-0000-0000-000017020000}"/>
    <cellStyle name="20% - Accent4 2 3 4 3 2" xfId="15098" xr:uid="{73B74CEE-ED17-4155-AAAF-BBAB4E74EDF6}"/>
    <cellStyle name="20% - Accent4 2 3 4 4" xfId="10881" xr:uid="{7CF2EEC9-C1D5-4B90-9495-5653C5CC769B}"/>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D333C711-6E76-4791-B6A1-3B33DB61DCDE}"/>
    <cellStyle name="20% - Accent4 2 3 5 2 3" xfId="13439" xr:uid="{C1449835-EBCB-487C-931B-BAB9FA4E8287}"/>
    <cellStyle name="20% - Accent4 2 3 5 3" xfId="6185" xr:uid="{00000000-0005-0000-0000-00001B020000}"/>
    <cellStyle name="20% - Accent4 2 3 5 3 2" xfId="15511" xr:uid="{737443DB-362F-43DF-8660-BEF29B136AC8}"/>
    <cellStyle name="20% - Accent4 2 3 5 4" xfId="11294" xr:uid="{A47AB01E-EDA3-4E90-860E-9F1493C14E30}"/>
    <cellStyle name="20% - Accent4 2 3 6" xfId="2292" xr:uid="{00000000-0005-0000-0000-00001C020000}"/>
    <cellStyle name="20% - Accent4 2 3 6 2" xfId="6598" xr:uid="{00000000-0005-0000-0000-00001D020000}"/>
    <cellStyle name="20% - Accent4 2 3 6 2 2" xfId="15924" xr:uid="{844DF8FA-61B8-4567-B892-4315A4C1CC29}"/>
    <cellStyle name="20% - Accent4 2 3 6 3" xfId="11707" xr:uid="{BA294875-F6BA-4CED-832B-F3DCC3618E4A}"/>
    <cellStyle name="20% - Accent4 2 3 7" xfId="4532" xr:uid="{00000000-0005-0000-0000-00001E020000}"/>
    <cellStyle name="20% - Accent4 2 3 7 2" xfId="13858" xr:uid="{9DE97B1E-8B0F-4FAF-B300-D72CC3FFA270}"/>
    <cellStyle name="20% - Accent4 2 3 8" xfId="9001" xr:uid="{B9DE6BBA-06E2-4FC8-B645-F20E60244072}"/>
    <cellStyle name="20% - Accent4 2 3 9" xfId="9641" xr:uid="{80A24D92-1CFF-45C9-8879-4F08D09060A2}"/>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163C79C5-E86F-40C0-80D3-574D2D44A291}"/>
    <cellStyle name="20% - Accent4 2 4 2 3" xfId="12197" xr:uid="{C512A25C-8FFF-4CED-8C66-C5B43F7D2292}"/>
    <cellStyle name="20% - Accent4 2 4 3" xfId="4943" xr:uid="{00000000-0005-0000-0000-000022020000}"/>
    <cellStyle name="20% - Accent4 2 4 3 2" xfId="14269" xr:uid="{0D63A750-9B28-4C76-8148-7AE7494C2E35}"/>
    <cellStyle name="20% - Accent4 2 4 4" xfId="9218" xr:uid="{EEA9CEE5-7B27-41EB-B571-13D0ADC44445}"/>
    <cellStyle name="20% - Accent4 2 4 5" xfId="10052" xr:uid="{B6527A01-54BF-42BC-8DB3-299410E96762}"/>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792E0904-368F-42C0-BE62-AADB520BD2C9}"/>
    <cellStyle name="20% - Accent4 2 5 2 3" xfId="12610" xr:uid="{56A90E07-3B24-4F9C-B84A-F6FCB6516B78}"/>
    <cellStyle name="20% - Accent4 2 5 3" xfId="5356" xr:uid="{00000000-0005-0000-0000-000026020000}"/>
    <cellStyle name="20% - Accent4 2 5 3 2" xfId="14682" xr:uid="{6E839AE5-05C6-4D38-96C6-5AB473B7BB94}"/>
    <cellStyle name="20% - Accent4 2 5 4" xfId="10465" xr:uid="{B662BF7B-1F3D-4FD9-9F2E-0934E6E3104B}"/>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8A4299A2-8272-4E9C-ACCF-734611F2323B}"/>
    <cellStyle name="20% - Accent4 2 6 2 3" xfId="13023" xr:uid="{DF04B369-1282-4099-84D8-C86D9287446B}"/>
    <cellStyle name="20% - Accent4 2 6 3" xfId="5769" xr:uid="{00000000-0005-0000-0000-00002A020000}"/>
    <cellStyle name="20% - Accent4 2 6 3 2" xfId="15095" xr:uid="{16ABAC83-90A7-41E7-B6AA-A9CA2D8570F3}"/>
    <cellStyle name="20% - Accent4 2 6 4" xfId="10878" xr:uid="{D282F7A2-8C95-4CC8-83EC-596A170BE44F}"/>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AC3FCED8-8573-4C2E-B62C-12B19233DEE8}"/>
    <cellStyle name="20% - Accent4 2 7 2 3" xfId="13436" xr:uid="{3888EFAF-D510-4B0D-AD23-EA6DBFE38FBE}"/>
    <cellStyle name="20% - Accent4 2 7 3" xfId="6182" xr:uid="{00000000-0005-0000-0000-00002E020000}"/>
    <cellStyle name="20% - Accent4 2 7 3 2" xfId="15508" xr:uid="{1EFBF46B-6A9D-4A30-9B46-5A268B12A901}"/>
    <cellStyle name="20% - Accent4 2 7 4" xfId="11291" xr:uid="{FF711588-9681-4CAC-9D50-9AE8035F5F34}"/>
    <cellStyle name="20% - Accent4 2 8" xfId="2289" xr:uid="{00000000-0005-0000-0000-00002F020000}"/>
    <cellStyle name="20% - Accent4 2 8 2" xfId="6595" xr:uid="{00000000-0005-0000-0000-000030020000}"/>
    <cellStyle name="20% - Accent4 2 8 2 2" xfId="15921" xr:uid="{F7DFC2C8-6B6B-4802-8FCF-8BA1583A3331}"/>
    <cellStyle name="20% - Accent4 2 8 3" xfId="11704" xr:uid="{4A366D0E-61EF-4EE6-9920-203D02CA0F65}"/>
    <cellStyle name="20% - Accent4 2 9" xfId="4529" xr:uid="{00000000-0005-0000-0000-000031020000}"/>
    <cellStyle name="20% - Accent4 2 9 2" xfId="13855" xr:uid="{4113BF41-E501-47A3-8F9E-4BD181F3A0C8}"/>
    <cellStyle name="20% - Accent4 3" xfId="30" xr:uid="{00000000-0005-0000-0000-000032020000}"/>
    <cellStyle name="20% - Accent4 3 10" xfId="9642" xr:uid="{6A54BE42-4707-45FB-9998-DD3DE684D09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5F109DB9-53DE-4165-8A50-649428CA26E1}"/>
    <cellStyle name="20% - Accent4 3 2 2 2 3" xfId="12202" xr:uid="{F0EB5EE8-C3D5-476D-BCCE-4CD21BE6C650}"/>
    <cellStyle name="20% - Accent4 3 2 2 3" xfId="4948" xr:uid="{00000000-0005-0000-0000-000037020000}"/>
    <cellStyle name="20% - Accent4 3 2 2 3 2" xfId="14274" xr:uid="{4E3CC197-8859-4A4B-A23D-E1CD272E6964}"/>
    <cellStyle name="20% - Accent4 3 2 2 4" xfId="9499" xr:uid="{019308F4-938B-408B-A627-483AF94276A0}"/>
    <cellStyle name="20% - Accent4 3 2 2 5" xfId="10057" xr:uid="{FB1800C4-117D-4D2A-A16E-410A2D58C341}"/>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CAA7DCA6-FF32-4407-9665-85BBE4A9DEEC}"/>
    <cellStyle name="20% - Accent4 3 2 3 2 3" xfId="12615" xr:uid="{2EE42103-1B79-4FCA-9267-EC790D404145}"/>
    <cellStyle name="20% - Accent4 3 2 3 3" xfId="5361" xr:uid="{00000000-0005-0000-0000-00003B020000}"/>
    <cellStyle name="20% - Accent4 3 2 3 3 2" xfId="14687" xr:uid="{5123CEFA-5812-41D9-8CC3-AEC0A635A071}"/>
    <cellStyle name="20% - Accent4 3 2 3 4" xfId="10470" xr:uid="{743AA502-69FB-4991-B47D-46BAFECBC3A7}"/>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D2E04E80-4761-4963-8B98-401F9713FAAF}"/>
    <cellStyle name="20% - Accent4 3 2 4 2 3" xfId="13028" xr:uid="{1BD4C631-A822-498F-AE19-A513095C9756}"/>
    <cellStyle name="20% - Accent4 3 2 4 3" xfId="5774" xr:uid="{00000000-0005-0000-0000-00003F020000}"/>
    <cellStyle name="20% - Accent4 3 2 4 3 2" xfId="15100" xr:uid="{BB5DAD50-2DD2-4B34-AB9E-B54E13613B78}"/>
    <cellStyle name="20% - Accent4 3 2 4 4" xfId="10883" xr:uid="{E00A8760-92A5-4D60-B0BE-ED0B923BC2BB}"/>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647A8E2C-62EE-444A-A372-0B8F3D79E9C8}"/>
    <cellStyle name="20% - Accent4 3 2 5 2 3" xfId="13441" xr:uid="{5476F829-A82A-4A3F-AA42-4FB2A54F86FE}"/>
    <cellStyle name="20% - Accent4 3 2 5 3" xfId="6187" xr:uid="{00000000-0005-0000-0000-000043020000}"/>
    <cellStyle name="20% - Accent4 3 2 5 3 2" xfId="15513" xr:uid="{EAC7484B-6054-40D5-9E1D-1994B2619334}"/>
    <cellStyle name="20% - Accent4 3 2 5 4" xfId="11296" xr:uid="{3AF9227D-E588-4195-9EEB-2C43BE844BA2}"/>
    <cellStyle name="20% - Accent4 3 2 6" xfId="2294" xr:uid="{00000000-0005-0000-0000-000044020000}"/>
    <cellStyle name="20% - Accent4 3 2 6 2" xfId="6600" xr:uid="{00000000-0005-0000-0000-000045020000}"/>
    <cellStyle name="20% - Accent4 3 2 6 2 2" xfId="15926" xr:uid="{EF8E599C-0C28-483F-8D8E-C0EE63AE41E2}"/>
    <cellStyle name="20% - Accent4 3 2 6 3" xfId="11709" xr:uid="{030192E4-BFB4-4CBC-9EA4-8055FD370BAB}"/>
    <cellStyle name="20% - Accent4 3 2 7" xfId="4534" xr:uid="{00000000-0005-0000-0000-000046020000}"/>
    <cellStyle name="20% - Accent4 3 2 7 2" xfId="13860" xr:uid="{9407E992-9A1A-495D-BF49-CD6E586DB202}"/>
    <cellStyle name="20% - Accent4 3 2 8" xfId="9074" xr:uid="{BA25EAA8-2B5F-4309-91A3-FC61FCEF209C}"/>
    <cellStyle name="20% - Accent4 3 2 9" xfId="9643" xr:uid="{CA9AF220-E416-4317-A011-7E920D56783A}"/>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53843DE3-30CE-4841-9FB1-B753E6A3F5F4}"/>
    <cellStyle name="20% - Accent4 3 3 2 3" xfId="12201" xr:uid="{B19E57CC-C619-47E2-A3BC-3CE191076933}"/>
    <cellStyle name="20% - Accent4 3 3 3" xfId="4947" xr:uid="{00000000-0005-0000-0000-00004A020000}"/>
    <cellStyle name="20% - Accent4 3 3 3 2" xfId="14273" xr:uid="{130F28E9-4769-41B3-9090-2A81B9A58406}"/>
    <cellStyle name="20% - Accent4 3 3 4" xfId="9292" xr:uid="{E33AB5E9-A8F9-45CB-AD95-0E461E901C30}"/>
    <cellStyle name="20% - Accent4 3 3 5" xfId="10056" xr:uid="{E13EA026-A2A9-4DE0-AF25-3608FE326EB7}"/>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DDE9E6A9-51F9-4B56-9D5B-74419CA28AED}"/>
    <cellStyle name="20% - Accent4 3 4 2 3" xfId="12614" xr:uid="{8A935177-0D34-462B-948F-11B898C67AD9}"/>
    <cellStyle name="20% - Accent4 3 4 3" xfId="5360" xr:uid="{00000000-0005-0000-0000-00004E020000}"/>
    <cellStyle name="20% - Accent4 3 4 3 2" xfId="14686" xr:uid="{077572D6-C146-447D-A439-197020E14204}"/>
    <cellStyle name="20% - Accent4 3 4 4" xfId="10469" xr:uid="{9B762E0D-32E5-47BF-976E-602590C591C3}"/>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5BE53240-3901-4A23-B2FE-C0EF0BFDE0E2}"/>
    <cellStyle name="20% - Accent4 3 5 2 3" xfId="13027" xr:uid="{F9ED2F53-B6AF-43F3-AFCA-DE0FDEEA4C5E}"/>
    <cellStyle name="20% - Accent4 3 5 3" xfId="5773" xr:uid="{00000000-0005-0000-0000-000052020000}"/>
    <cellStyle name="20% - Accent4 3 5 3 2" xfId="15099" xr:uid="{5FC9429D-C241-4557-BFD1-1F2C7286623D}"/>
    <cellStyle name="20% - Accent4 3 5 4" xfId="10882" xr:uid="{E098626A-4656-4234-B599-48C1B275D26F}"/>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7DDAFCA5-7DC2-4128-9A69-3B7C66AC9357}"/>
    <cellStyle name="20% - Accent4 3 6 2 3" xfId="13440" xr:uid="{3EB25B81-0E46-4ED7-96EC-0993D577A001}"/>
    <cellStyle name="20% - Accent4 3 6 3" xfId="6186" xr:uid="{00000000-0005-0000-0000-000056020000}"/>
    <cellStyle name="20% - Accent4 3 6 3 2" xfId="15512" xr:uid="{EEDA763C-09B4-42CC-A7C2-F0E29273C0EE}"/>
    <cellStyle name="20% - Accent4 3 6 4" xfId="11295" xr:uid="{C921BD46-0A0C-4043-A53C-37C383B0BADE}"/>
    <cellStyle name="20% - Accent4 3 7" xfId="2293" xr:uid="{00000000-0005-0000-0000-000057020000}"/>
    <cellStyle name="20% - Accent4 3 7 2" xfId="6599" xr:uid="{00000000-0005-0000-0000-000058020000}"/>
    <cellStyle name="20% - Accent4 3 7 2 2" xfId="15925" xr:uid="{960A44C4-076D-409A-ADB1-F10B3411D817}"/>
    <cellStyle name="20% - Accent4 3 7 3" xfId="11708" xr:uid="{61EFF9BA-318A-4C4D-AED6-1179E08790B7}"/>
    <cellStyle name="20% - Accent4 3 8" xfId="4533" xr:uid="{00000000-0005-0000-0000-000059020000}"/>
    <cellStyle name="20% - Accent4 3 8 2" xfId="13859" xr:uid="{600A514D-4E22-4D6D-A0A1-AD9A00054A72}"/>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AF7DD42A-4D2A-417D-B4E8-6311856099C3}"/>
    <cellStyle name="20% - Accent4 4 2 2 3" xfId="12203" xr:uid="{7F494C46-EF68-48B6-B2F5-B0D87B18BBE2}"/>
    <cellStyle name="20% - Accent4 4 2 3" xfId="4949" xr:uid="{00000000-0005-0000-0000-00005E020000}"/>
    <cellStyle name="20% - Accent4 4 2 3 2" xfId="14275" xr:uid="{C0CFDA2B-6A68-4AF2-9D88-B18DDF5276E1}"/>
    <cellStyle name="20% - Accent4 4 2 4" xfId="9378" xr:uid="{761B3D4A-2751-4646-8A50-05A0DD408525}"/>
    <cellStyle name="20% - Accent4 4 2 5" xfId="10058" xr:uid="{37320C63-36EC-45B0-9EBE-22D175179B51}"/>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6A931AB6-8B1C-4F41-ADE3-FD20509BDAEA}"/>
    <cellStyle name="20% - Accent4 4 3 2 3" xfId="12616" xr:uid="{C49194F1-EF36-4F11-999C-C83E29295E4F}"/>
    <cellStyle name="20% - Accent4 4 3 3" xfId="5362" xr:uid="{00000000-0005-0000-0000-000062020000}"/>
    <cellStyle name="20% - Accent4 4 3 3 2" xfId="14688" xr:uid="{815FB3FF-11BA-46C7-9457-CBDF55FDBA40}"/>
    <cellStyle name="20% - Accent4 4 3 4" xfId="10471" xr:uid="{5753A223-83F1-4F87-A784-8F6B366D9D64}"/>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15E15853-3A3B-4ACD-88BE-FCD644CCC5AA}"/>
    <cellStyle name="20% - Accent4 4 4 2 3" xfId="13029" xr:uid="{2DDE5172-A4D6-44E9-B79F-8FA99E4296E6}"/>
    <cellStyle name="20% - Accent4 4 4 3" xfId="5775" xr:uid="{00000000-0005-0000-0000-000066020000}"/>
    <cellStyle name="20% - Accent4 4 4 3 2" xfId="15101" xr:uid="{C26B7502-A2CF-49C3-934E-902D067FDAF0}"/>
    <cellStyle name="20% - Accent4 4 4 4" xfId="10884" xr:uid="{F8F5AF08-F79C-4CF4-B4F4-A2DC462006C2}"/>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A40E22C4-8406-4C9E-AA23-1247438B4593}"/>
    <cellStyle name="20% - Accent4 4 5 2 3" xfId="13442" xr:uid="{3BE3B878-F110-4CA9-A995-7842E565F5AB}"/>
    <cellStyle name="20% - Accent4 4 5 3" xfId="6188" xr:uid="{00000000-0005-0000-0000-00006A020000}"/>
    <cellStyle name="20% - Accent4 4 5 3 2" xfId="15514" xr:uid="{E83E265E-8222-4903-81E9-9903C283FD1F}"/>
    <cellStyle name="20% - Accent4 4 5 4" xfId="11297" xr:uid="{FABA7B26-A567-4A9A-A85B-EDE9EE630159}"/>
    <cellStyle name="20% - Accent4 4 6" xfId="2295" xr:uid="{00000000-0005-0000-0000-00006B020000}"/>
    <cellStyle name="20% - Accent4 4 6 2" xfId="6601" xr:uid="{00000000-0005-0000-0000-00006C020000}"/>
    <cellStyle name="20% - Accent4 4 6 2 2" xfId="15927" xr:uid="{ADC3D663-9DB2-4C6A-B464-F5A5D16717E1}"/>
    <cellStyle name="20% - Accent4 4 6 3" xfId="11710" xr:uid="{A0702484-D250-4E88-9A8E-B7008BCA1E41}"/>
    <cellStyle name="20% - Accent4 4 7" xfId="4535" xr:uid="{00000000-0005-0000-0000-00006D020000}"/>
    <cellStyle name="20% - Accent4 4 7 2" xfId="13861" xr:uid="{7AFA8FF5-3770-43CD-A1F5-9CB68D93BD81}"/>
    <cellStyle name="20% - Accent4 4 8" xfId="8953" xr:uid="{66D1590A-BB3A-4B79-BA94-169F97E79370}"/>
    <cellStyle name="20% - Accent4 4 9" xfId="9644" xr:uid="{8DD644C6-7E91-4E22-B1CF-84C9CE166701}"/>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8F129F82-1ACA-4F83-A982-F07CE4EB409F}"/>
    <cellStyle name="20% - Accent4 5 2 3" xfId="12196" xr:uid="{839F0297-AD9E-4B2E-8C94-3E6F40179758}"/>
    <cellStyle name="20% - Accent4 5 3" xfId="4942" xr:uid="{00000000-0005-0000-0000-000071020000}"/>
    <cellStyle name="20% - Accent4 5 3 2" xfId="14268" xr:uid="{B13E8A96-4F55-4420-844B-9F2E9D238038}"/>
    <cellStyle name="20% - Accent4 5 4" xfId="9186" xr:uid="{E62ED282-F767-404B-ADA1-4F8E5B4D01EB}"/>
    <cellStyle name="20% - Accent4 5 5" xfId="10051" xr:uid="{AAB5CFB0-CDFB-4385-AEC8-1F4EF415CD9E}"/>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59E6AE6E-4CF9-461F-9DFE-30C5C5DBD103}"/>
    <cellStyle name="20% - Accent4 6 2 3" xfId="12609" xr:uid="{1A55D80D-982E-443B-BECB-6C31D5603910}"/>
    <cellStyle name="20% - Accent4 6 3" xfId="5355" xr:uid="{00000000-0005-0000-0000-000075020000}"/>
    <cellStyle name="20% - Accent4 6 3 2" xfId="14681" xr:uid="{BE5339F1-02A9-4267-A991-261AC0219C3A}"/>
    <cellStyle name="20% - Accent4 6 4" xfId="10464" xr:uid="{C31E778E-2A78-4C8C-8A00-D389D8C4C297}"/>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F3907121-BFB4-4F83-99C9-3CE8D7E6A643}"/>
    <cellStyle name="20% - Accent4 7 2 3" xfId="13022" xr:uid="{87D680C7-BD71-414C-B582-ECCAFAEB4485}"/>
    <cellStyle name="20% - Accent4 7 3" xfId="5768" xr:uid="{00000000-0005-0000-0000-000079020000}"/>
    <cellStyle name="20% - Accent4 7 3 2" xfId="15094" xr:uid="{666B17A1-A5A1-471F-85FA-8E7B4FC9FDF4}"/>
    <cellStyle name="20% - Accent4 7 4" xfId="10877" xr:uid="{455784CF-8B4D-48CD-A3BD-FE19C587C7FF}"/>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04CD6F87-7D7B-4A29-91C9-757BC84392F9}"/>
    <cellStyle name="20% - Accent4 8 2 3" xfId="13435" xr:uid="{AD82403F-36E6-4EC6-8362-0284ABC85215}"/>
    <cellStyle name="20% - Accent4 8 3" xfId="6181" xr:uid="{00000000-0005-0000-0000-00007D020000}"/>
    <cellStyle name="20% - Accent4 8 3 2" xfId="15507" xr:uid="{908F2987-0255-4C3B-B9A2-97C9FBE4F77A}"/>
    <cellStyle name="20% - Accent4 8 4" xfId="11290" xr:uid="{5C33FE4F-7EF0-4F9A-950F-CBABB81D3430}"/>
    <cellStyle name="20% - Accent4 9" xfId="2288" xr:uid="{00000000-0005-0000-0000-00007E020000}"/>
    <cellStyle name="20% - Accent4 9 2" xfId="6594" xr:uid="{00000000-0005-0000-0000-00007F020000}"/>
    <cellStyle name="20% - Accent4 9 2 2" xfId="15920" xr:uid="{7EE9A5EA-24E7-49D4-AEBB-6A880CAD79E9}"/>
    <cellStyle name="20% - Accent4 9 3" xfId="11703" xr:uid="{57A384BF-E000-4F32-AF5C-5554E7027AFC}"/>
    <cellStyle name="20% - Accent5" xfId="33" builtinId="46" customBuiltin="1"/>
    <cellStyle name="20% - Accent5 10" xfId="4536" xr:uid="{00000000-0005-0000-0000-000081020000}"/>
    <cellStyle name="20% - Accent5 10 2" xfId="13862" xr:uid="{73FAF37F-9790-4F48-B378-04ECFD4F82B8}"/>
    <cellStyle name="20% - Accent5 11" xfId="8766" xr:uid="{A87C980D-48BC-4AA3-98F7-53B2F02F228C}"/>
    <cellStyle name="20% - Accent5 12" xfId="9645" xr:uid="{BAE8C5DF-F828-407A-86F5-F6EBBCB578F5}"/>
    <cellStyle name="20% - Accent5 2" xfId="34" xr:uid="{00000000-0005-0000-0000-000082020000}"/>
    <cellStyle name="20% - Accent5 2 10" xfId="8796" xr:uid="{5BBF4372-A7B1-47A0-AC3D-4A60EDC1A5F8}"/>
    <cellStyle name="20% - Accent5 2 11" xfId="9646" xr:uid="{348D8C1A-60AC-4857-8302-85E5E9790FA2}"/>
    <cellStyle name="20% - Accent5 2 2" xfId="35" xr:uid="{00000000-0005-0000-0000-000083020000}"/>
    <cellStyle name="20% - Accent5 2 2 10" xfId="9647" xr:uid="{8D8DE18A-6D14-43C8-A03A-27B681D6512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9F34B1E5-8909-40D2-822D-D516A38B39EF}"/>
    <cellStyle name="20% - Accent5 2 2 2 2 2 3" xfId="12207" xr:uid="{A3579635-D649-4E27-B057-05E833AA4AD3}"/>
    <cellStyle name="20% - Accent5 2 2 2 2 3" xfId="4953" xr:uid="{00000000-0005-0000-0000-000088020000}"/>
    <cellStyle name="20% - Accent5 2 2 2 2 3 2" xfId="14279" xr:uid="{683ECBE7-6B4F-4344-A0E5-6906FD6B373E}"/>
    <cellStyle name="20% - Accent5 2 2 2 2 4" xfId="9531" xr:uid="{5DC5F027-F767-49FB-B9DE-2ACABCF8AC5A}"/>
    <cellStyle name="20% - Accent5 2 2 2 2 5" xfId="10062" xr:uid="{D2F438FA-24AD-47BE-9FC1-423780579A15}"/>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406481AA-78A1-40AB-B18C-741E49536E6F}"/>
    <cellStyle name="20% - Accent5 2 2 2 3 2 3" xfId="12620" xr:uid="{759ECC47-D0B8-49FA-8FEE-562265EA0B1B}"/>
    <cellStyle name="20% - Accent5 2 2 2 3 3" xfId="5366" xr:uid="{00000000-0005-0000-0000-00008C020000}"/>
    <cellStyle name="20% - Accent5 2 2 2 3 3 2" xfId="14692" xr:uid="{8F8BD5A6-21DC-4667-926C-D3E1434DB05A}"/>
    <cellStyle name="20% - Accent5 2 2 2 3 4" xfId="10475" xr:uid="{4CF06500-AEF4-40DA-8817-225A0A2069A1}"/>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455C0D36-5D74-45B5-B94E-CBD65CDEDF02}"/>
    <cellStyle name="20% - Accent5 2 2 2 4 2 3" xfId="13033" xr:uid="{3A0C8913-CB3D-42B2-A5D0-D95D52F488D3}"/>
    <cellStyle name="20% - Accent5 2 2 2 4 3" xfId="5779" xr:uid="{00000000-0005-0000-0000-000090020000}"/>
    <cellStyle name="20% - Accent5 2 2 2 4 3 2" xfId="15105" xr:uid="{1CB7BC30-56B8-40C0-8909-17E74B144CBC}"/>
    <cellStyle name="20% - Accent5 2 2 2 4 4" xfId="10888" xr:uid="{946B2418-F3BB-4CDB-AB6B-A4B4FC7952AA}"/>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ED53F6ED-1DBB-4D56-BE1E-710A0117A42C}"/>
    <cellStyle name="20% - Accent5 2 2 2 5 2 3" xfId="13446" xr:uid="{35554797-E62C-4AD8-8EA3-F8A5A6E69432}"/>
    <cellStyle name="20% - Accent5 2 2 2 5 3" xfId="6192" xr:uid="{00000000-0005-0000-0000-000094020000}"/>
    <cellStyle name="20% - Accent5 2 2 2 5 3 2" xfId="15518" xr:uid="{58C6807A-A509-4A7E-9738-F2DCB5A24AFA}"/>
    <cellStyle name="20% - Accent5 2 2 2 5 4" xfId="11301" xr:uid="{1CE961C6-02F2-4062-A53E-B347F4DAC263}"/>
    <cellStyle name="20% - Accent5 2 2 2 6" xfId="2299" xr:uid="{00000000-0005-0000-0000-000095020000}"/>
    <cellStyle name="20% - Accent5 2 2 2 6 2" xfId="6605" xr:uid="{00000000-0005-0000-0000-000096020000}"/>
    <cellStyle name="20% - Accent5 2 2 2 6 2 2" xfId="15931" xr:uid="{BAB09EAE-DD2C-4B63-A016-F9ABBB1B01F2}"/>
    <cellStyle name="20% - Accent5 2 2 2 6 3" xfId="11714" xr:uid="{C0854451-7D32-46F3-9451-1E5292F6EFFE}"/>
    <cellStyle name="20% - Accent5 2 2 2 7" xfId="4539" xr:uid="{00000000-0005-0000-0000-000097020000}"/>
    <cellStyle name="20% - Accent5 2 2 2 7 2" xfId="13865" xr:uid="{2BEA6A5C-7179-4718-B68C-2C410EE2A1AA}"/>
    <cellStyle name="20% - Accent5 2 2 2 8" xfId="9106" xr:uid="{E7B219CB-83A9-494A-83ED-783719A0F1D9}"/>
    <cellStyle name="20% - Accent5 2 2 2 9" xfId="9648" xr:uid="{081E9D43-6E4A-4BA1-8D7A-F593EED8908F}"/>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D1A55C27-6106-4520-A843-3BE41F4CB100}"/>
    <cellStyle name="20% - Accent5 2 2 3 2 3" xfId="12206" xr:uid="{A8FACA2A-B383-4EEC-B1F4-026B933EEF42}"/>
    <cellStyle name="20% - Accent5 2 2 3 3" xfId="4952" xr:uid="{00000000-0005-0000-0000-00009B020000}"/>
    <cellStyle name="20% - Accent5 2 2 3 3 2" xfId="14278" xr:uid="{A2BD3401-7523-49C1-8D93-85FC6DB387BC}"/>
    <cellStyle name="20% - Accent5 2 2 3 4" xfId="9324" xr:uid="{6094FEE1-8E2A-466F-9CDF-43EB9EE581FF}"/>
    <cellStyle name="20% - Accent5 2 2 3 5" xfId="10061" xr:uid="{231788FC-24F7-4105-8D5B-0E561F2CCADB}"/>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AC4FBCDB-9BCB-4406-8BEE-5693548A5993}"/>
    <cellStyle name="20% - Accent5 2 2 4 2 3" xfId="12619" xr:uid="{C720DFB5-A89F-4D35-8C18-46612EA75468}"/>
    <cellStyle name="20% - Accent5 2 2 4 3" xfId="5365" xr:uid="{00000000-0005-0000-0000-00009F020000}"/>
    <cellStyle name="20% - Accent5 2 2 4 3 2" xfId="14691" xr:uid="{2DE88031-EBB3-4ACA-B322-B041BFE5DB13}"/>
    <cellStyle name="20% - Accent5 2 2 4 4" xfId="10474" xr:uid="{1425B326-63C9-4791-ABDF-075BC68D6DE1}"/>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EE5969F4-A6DF-4571-B2E3-AB927EE019FA}"/>
    <cellStyle name="20% - Accent5 2 2 5 2 3" xfId="13032" xr:uid="{144EE9DD-8BE4-4787-9441-79DC4945F28E}"/>
    <cellStyle name="20% - Accent5 2 2 5 3" xfId="5778" xr:uid="{00000000-0005-0000-0000-0000A3020000}"/>
    <cellStyle name="20% - Accent5 2 2 5 3 2" xfId="15104" xr:uid="{F0DEB757-B7B7-4238-9F5C-975C61F4B2ED}"/>
    <cellStyle name="20% - Accent5 2 2 5 4" xfId="10887" xr:uid="{7895E16A-D726-4E3C-922C-75BB1CF02071}"/>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624B09CE-1FE5-47FE-8E65-7CBA2D761433}"/>
    <cellStyle name="20% - Accent5 2 2 6 2 3" xfId="13445" xr:uid="{7F8C34A8-992F-4101-AC3F-AF85B94D9BC0}"/>
    <cellStyle name="20% - Accent5 2 2 6 3" xfId="6191" xr:uid="{00000000-0005-0000-0000-0000A7020000}"/>
    <cellStyle name="20% - Accent5 2 2 6 3 2" xfId="15517" xr:uid="{CB132015-4CBC-4092-A18A-34B22EADFDE8}"/>
    <cellStyle name="20% - Accent5 2 2 6 4" xfId="11300" xr:uid="{AD1A50A2-E48D-4C72-A69A-64C216099C27}"/>
    <cellStyle name="20% - Accent5 2 2 7" xfId="2298" xr:uid="{00000000-0005-0000-0000-0000A8020000}"/>
    <cellStyle name="20% - Accent5 2 2 7 2" xfId="6604" xr:uid="{00000000-0005-0000-0000-0000A9020000}"/>
    <cellStyle name="20% - Accent5 2 2 7 2 2" xfId="15930" xr:uid="{F752DF65-3582-453A-BB04-CCCCC9E32EBD}"/>
    <cellStyle name="20% - Accent5 2 2 7 3" xfId="11713" xr:uid="{5F4B9727-6119-4F3B-B488-1A688E9E8889}"/>
    <cellStyle name="20% - Accent5 2 2 8" xfId="4538" xr:uid="{00000000-0005-0000-0000-0000AA020000}"/>
    <cellStyle name="20% - Accent5 2 2 8 2" xfId="13864" xr:uid="{BCED19F8-9CBE-4DFA-9B91-80000F22462C}"/>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34CCAEA5-4442-452C-A3FF-8D3B1D7D1F9A}"/>
    <cellStyle name="20% - Accent5 2 3 2 2 3" xfId="12208" xr:uid="{1F00952C-4011-44E8-84BB-BF548552C731}"/>
    <cellStyle name="20% - Accent5 2 3 2 3" xfId="4954" xr:uid="{00000000-0005-0000-0000-0000AF020000}"/>
    <cellStyle name="20% - Accent5 2 3 2 3 2" xfId="14280" xr:uid="{0ECAED31-5CCC-45A3-B6E5-D5DFF992E64D}"/>
    <cellStyle name="20% - Accent5 2 3 2 4" xfId="9428" xr:uid="{B7820ACF-E1F3-4653-B5DD-FD829B169E84}"/>
    <cellStyle name="20% - Accent5 2 3 2 5" xfId="10063" xr:uid="{3D608E5A-75E8-4487-AE42-CB004BAE3D83}"/>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2489943F-9D7E-4B77-B607-FDA0D6713E25}"/>
    <cellStyle name="20% - Accent5 2 3 3 2 3" xfId="12621" xr:uid="{73A21136-B925-4CE1-BAE3-4E99B2894C2B}"/>
    <cellStyle name="20% - Accent5 2 3 3 3" xfId="5367" xr:uid="{00000000-0005-0000-0000-0000B3020000}"/>
    <cellStyle name="20% - Accent5 2 3 3 3 2" xfId="14693" xr:uid="{D12A7779-3639-4EE2-84FE-EA05F5C8584E}"/>
    <cellStyle name="20% - Accent5 2 3 3 4" xfId="10476" xr:uid="{8D6A8327-D26D-4BD0-A6B8-898EAAEE687D}"/>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BC1D3CB5-7E96-4640-9641-2FCE3B618B60}"/>
    <cellStyle name="20% - Accent5 2 3 4 2 3" xfId="13034" xr:uid="{9C8DA5D3-1AB6-4A11-8331-6D4BAAFEEA7B}"/>
    <cellStyle name="20% - Accent5 2 3 4 3" xfId="5780" xr:uid="{00000000-0005-0000-0000-0000B7020000}"/>
    <cellStyle name="20% - Accent5 2 3 4 3 2" xfId="15106" xr:uid="{9B48E171-16FC-4ABC-8EBD-2350B2E0367F}"/>
    <cellStyle name="20% - Accent5 2 3 4 4" xfId="10889" xr:uid="{C2299308-BAC4-4B3E-9D01-E3FFBA0FE275}"/>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AE3DB4AD-091C-4057-B116-BF0EFE70D3A8}"/>
    <cellStyle name="20% - Accent5 2 3 5 2 3" xfId="13447" xr:uid="{26956AE1-1CE5-47FD-A766-EE3D566013D8}"/>
    <cellStyle name="20% - Accent5 2 3 5 3" xfId="6193" xr:uid="{00000000-0005-0000-0000-0000BB020000}"/>
    <cellStyle name="20% - Accent5 2 3 5 3 2" xfId="15519" xr:uid="{C5ED2275-68E4-4721-8FB1-AFBED173123C}"/>
    <cellStyle name="20% - Accent5 2 3 5 4" xfId="11302" xr:uid="{FAD1853D-A413-4E3B-9C73-30FA05F4637D}"/>
    <cellStyle name="20% - Accent5 2 3 6" xfId="2300" xr:uid="{00000000-0005-0000-0000-0000BC020000}"/>
    <cellStyle name="20% - Accent5 2 3 6 2" xfId="6606" xr:uid="{00000000-0005-0000-0000-0000BD020000}"/>
    <cellStyle name="20% - Accent5 2 3 6 2 2" xfId="15932" xr:uid="{5AF3A895-A369-46DA-887A-7BDEEFA2BB11}"/>
    <cellStyle name="20% - Accent5 2 3 6 3" xfId="11715" xr:uid="{720EDF29-03E0-4141-86F9-C5017E453CC7}"/>
    <cellStyle name="20% - Accent5 2 3 7" xfId="4540" xr:uid="{00000000-0005-0000-0000-0000BE020000}"/>
    <cellStyle name="20% - Accent5 2 3 7 2" xfId="13866" xr:uid="{3CD8E1A1-EEA4-4C79-8BFC-33F4140C18A0}"/>
    <cellStyle name="20% - Accent5 2 3 8" xfId="9003" xr:uid="{9830E7D1-E361-4BA3-A986-3DCE647EEF8E}"/>
    <cellStyle name="20% - Accent5 2 3 9" xfId="9649" xr:uid="{E4542207-D838-44A4-A24A-A0D05739452A}"/>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6CFF025B-E0C0-49EE-8970-5B6478E72470}"/>
    <cellStyle name="20% - Accent5 2 4 2 3" xfId="12205" xr:uid="{F7B135EA-A705-4BE2-BD92-78610DC3AC9C}"/>
    <cellStyle name="20% - Accent5 2 4 3" xfId="4951" xr:uid="{00000000-0005-0000-0000-0000C2020000}"/>
    <cellStyle name="20% - Accent5 2 4 3 2" xfId="14277" xr:uid="{15F7BDAA-F5AA-4C50-9B8B-27EA5321C0FB}"/>
    <cellStyle name="20% - Accent5 2 4 4" xfId="9220" xr:uid="{A7B88928-FE72-4C1B-B74E-3CA76DBA84CC}"/>
    <cellStyle name="20% - Accent5 2 4 5" xfId="10060" xr:uid="{8BC2F720-974F-45CA-85AC-C3A0C8FF01D1}"/>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8BB1168D-9DAC-4FE3-B2EA-AA1BAB6A36C0}"/>
    <cellStyle name="20% - Accent5 2 5 2 3" xfId="12618" xr:uid="{6A070F0F-A032-4297-A7E6-A43E9384A71E}"/>
    <cellStyle name="20% - Accent5 2 5 3" xfId="5364" xr:uid="{00000000-0005-0000-0000-0000C6020000}"/>
    <cellStyle name="20% - Accent5 2 5 3 2" xfId="14690" xr:uid="{848888B2-10B0-403B-B82A-5C2131B6A069}"/>
    <cellStyle name="20% - Accent5 2 5 4" xfId="10473" xr:uid="{E4B3089E-A775-465E-83B0-F6B3FC62AC5B}"/>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F5DAF45C-85E2-4BC8-AB8F-AF39038C9BD1}"/>
    <cellStyle name="20% - Accent5 2 6 2 3" xfId="13031" xr:uid="{61D99C7F-8B1B-4C80-80E5-5AA8123A93C7}"/>
    <cellStyle name="20% - Accent5 2 6 3" xfId="5777" xr:uid="{00000000-0005-0000-0000-0000CA020000}"/>
    <cellStyle name="20% - Accent5 2 6 3 2" xfId="15103" xr:uid="{C7430132-4D24-4EEF-A25C-A0906F388791}"/>
    <cellStyle name="20% - Accent5 2 6 4" xfId="10886" xr:uid="{8E6D6C94-1C9F-4084-8935-B62941FEEEE6}"/>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8A157D07-E9AB-42DD-8406-0E6C0D344FC7}"/>
    <cellStyle name="20% - Accent5 2 7 2 3" xfId="13444" xr:uid="{642F11B5-A0C9-45DE-BB91-C7CC5F7EA1DB}"/>
    <cellStyle name="20% - Accent5 2 7 3" xfId="6190" xr:uid="{00000000-0005-0000-0000-0000CE020000}"/>
    <cellStyle name="20% - Accent5 2 7 3 2" xfId="15516" xr:uid="{5004138C-3BE1-491A-B33B-0B7DDFCC3788}"/>
    <cellStyle name="20% - Accent5 2 7 4" xfId="11299" xr:uid="{F4227953-782D-42BC-8E78-8C0853FB4E8D}"/>
    <cellStyle name="20% - Accent5 2 8" xfId="2297" xr:uid="{00000000-0005-0000-0000-0000CF020000}"/>
    <cellStyle name="20% - Accent5 2 8 2" xfId="6603" xr:uid="{00000000-0005-0000-0000-0000D0020000}"/>
    <cellStyle name="20% - Accent5 2 8 2 2" xfId="15929" xr:uid="{EE93E26B-5175-4026-B077-F650B0ED09ED}"/>
    <cellStyle name="20% - Accent5 2 8 3" xfId="11712" xr:uid="{9CA974A4-8DCD-4555-A0FA-BD589080BF21}"/>
    <cellStyle name="20% - Accent5 2 9" xfId="4537" xr:uid="{00000000-0005-0000-0000-0000D1020000}"/>
    <cellStyle name="20% - Accent5 2 9 2" xfId="13863" xr:uid="{3AEB843F-8832-49E6-BC63-34774AF213A7}"/>
    <cellStyle name="20% - Accent5 3" xfId="38" xr:uid="{00000000-0005-0000-0000-0000D2020000}"/>
    <cellStyle name="20% - Accent5 3 10" xfId="9650" xr:uid="{34B78A01-E56C-4798-B9B2-277531111B7D}"/>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09872BA8-E9E8-4812-A775-337E9AE7FB9E}"/>
    <cellStyle name="20% - Accent5 3 2 2 2 3" xfId="12210" xr:uid="{07D7F84B-3B7E-4A5F-8203-1919ACC0E2DB}"/>
    <cellStyle name="20% - Accent5 3 2 2 3" xfId="4956" xr:uid="{00000000-0005-0000-0000-0000D7020000}"/>
    <cellStyle name="20% - Accent5 3 2 2 3 2" xfId="14282" xr:uid="{31F68EA0-1702-451C-83C8-50073C0FACE4}"/>
    <cellStyle name="20% - Accent5 3 2 2 4" xfId="9501" xr:uid="{82A590A5-96D4-476E-8E6F-D81EEE08C409}"/>
    <cellStyle name="20% - Accent5 3 2 2 5" xfId="10065" xr:uid="{D2EA156F-9808-4690-98D3-EFC2847C4E27}"/>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248B9D8D-D8B9-4B66-9468-FFF502693362}"/>
    <cellStyle name="20% - Accent5 3 2 3 2 3" xfId="12623" xr:uid="{E8E054C2-35A6-4DEA-BE5A-F4B9A2663CDD}"/>
    <cellStyle name="20% - Accent5 3 2 3 3" xfId="5369" xr:uid="{00000000-0005-0000-0000-0000DB020000}"/>
    <cellStyle name="20% - Accent5 3 2 3 3 2" xfId="14695" xr:uid="{98E17913-C68E-49FB-B439-270F98C19025}"/>
    <cellStyle name="20% - Accent5 3 2 3 4" xfId="10478" xr:uid="{42694E08-4873-411E-BC67-48A106540C8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D613D4DD-CF16-48C7-A57A-93D7D9CC3812}"/>
    <cellStyle name="20% - Accent5 3 2 4 2 3" xfId="13036" xr:uid="{5B9FBCD8-5908-41E8-8741-7DE89126FA52}"/>
    <cellStyle name="20% - Accent5 3 2 4 3" xfId="5782" xr:uid="{00000000-0005-0000-0000-0000DF020000}"/>
    <cellStyle name="20% - Accent5 3 2 4 3 2" xfId="15108" xr:uid="{DE47BD9B-C3E2-4008-8B35-1A0C83C925D0}"/>
    <cellStyle name="20% - Accent5 3 2 4 4" xfId="10891" xr:uid="{96D1524E-B8C1-4D86-B3FA-AEC52A8A28BD}"/>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093F25CF-4A20-4DF1-8805-F654B78D6C5C}"/>
    <cellStyle name="20% - Accent5 3 2 5 2 3" xfId="13449" xr:uid="{AAA48D42-0BF3-422B-8051-E51FF5582DC1}"/>
    <cellStyle name="20% - Accent5 3 2 5 3" xfId="6195" xr:uid="{00000000-0005-0000-0000-0000E3020000}"/>
    <cellStyle name="20% - Accent5 3 2 5 3 2" xfId="15521" xr:uid="{834ABC94-BDCA-4DCA-93C2-DED9E6799E51}"/>
    <cellStyle name="20% - Accent5 3 2 5 4" xfId="11304" xr:uid="{718401A6-C543-401D-8627-022651B04FCC}"/>
    <cellStyle name="20% - Accent5 3 2 6" xfId="2302" xr:uid="{00000000-0005-0000-0000-0000E4020000}"/>
    <cellStyle name="20% - Accent5 3 2 6 2" xfId="6608" xr:uid="{00000000-0005-0000-0000-0000E5020000}"/>
    <cellStyle name="20% - Accent5 3 2 6 2 2" xfId="15934" xr:uid="{5C08F889-AB90-40D7-93AF-6FDE7162AC9B}"/>
    <cellStyle name="20% - Accent5 3 2 6 3" xfId="11717" xr:uid="{24871505-E714-4DDD-8312-64204181124B}"/>
    <cellStyle name="20% - Accent5 3 2 7" xfId="4542" xr:uid="{00000000-0005-0000-0000-0000E6020000}"/>
    <cellStyle name="20% - Accent5 3 2 7 2" xfId="13868" xr:uid="{FD23A036-68DA-4AFD-A52E-9FAFBDE17FBB}"/>
    <cellStyle name="20% - Accent5 3 2 8" xfId="9076" xr:uid="{BEDF1D01-35A3-4513-9363-9C1AFC748168}"/>
    <cellStyle name="20% - Accent5 3 2 9" xfId="9651" xr:uid="{0B55039D-525A-4A6C-A23E-2A43C90DB10B}"/>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0ACF4804-2358-45CE-B0F2-F352CF68B5DC}"/>
    <cellStyle name="20% - Accent5 3 3 2 3" xfId="12209" xr:uid="{4FF2BC7F-358F-46C8-8B09-2D06BF0995D0}"/>
    <cellStyle name="20% - Accent5 3 3 3" xfId="4955" xr:uid="{00000000-0005-0000-0000-0000EA020000}"/>
    <cellStyle name="20% - Accent5 3 3 3 2" xfId="14281" xr:uid="{F30D70FD-CCEA-4BE3-99AC-6A30973DD4D4}"/>
    <cellStyle name="20% - Accent5 3 3 4" xfId="9294" xr:uid="{124960EA-C7A4-4686-BF67-47D6C57F7EEB}"/>
    <cellStyle name="20% - Accent5 3 3 5" xfId="10064" xr:uid="{17DEBB4E-2B67-46C9-9851-1950768E019D}"/>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A538B2A5-757E-46D8-83AC-1B6CE193BCFA}"/>
    <cellStyle name="20% - Accent5 3 4 2 3" xfId="12622" xr:uid="{2BEE3184-7C07-4C07-B4E5-25E62D48251D}"/>
    <cellStyle name="20% - Accent5 3 4 3" xfId="5368" xr:uid="{00000000-0005-0000-0000-0000EE020000}"/>
    <cellStyle name="20% - Accent5 3 4 3 2" xfId="14694" xr:uid="{C44F1C4E-F85A-4F0A-AD81-B97057E5D71A}"/>
    <cellStyle name="20% - Accent5 3 4 4" xfId="10477" xr:uid="{81B96F1B-CA42-475F-B315-C70FDB31117E}"/>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8A019D1F-D854-412A-AE4B-38C5ACC106C5}"/>
    <cellStyle name="20% - Accent5 3 5 2 3" xfId="13035" xr:uid="{BFFA3751-D167-47F7-BB52-60A0E800388B}"/>
    <cellStyle name="20% - Accent5 3 5 3" xfId="5781" xr:uid="{00000000-0005-0000-0000-0000F2020000}"/>
    <cellStyle name="20% - Accent5 3 5 3 2" xfId="15107" xr:uid="{9E2B568D-F3E2-41EC-BFAB-C8480A6A45BC}"/>
    <cellStyle name="20% - Accent5 3 5 4" xfId="10890" xr:uid="{2F25EA8A-E514-4DF5-8A0E-B0E852205067}"/>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B2D623EE-6202-4922-909A-0625D5471D11}"/>
    <cellStyle name="20% - Accent5 3 6 2 3" xfId="13448" xr:uid="{06F9D16C-BF05-4EBE-B482-DDC60C4ABAA6}"/>
    <cellStyle name="20% - Accent5 3 6 3" xfId="6194" xr:uid="{00000000-0005-0000-0000-0000F6020000}"/>
    <cellStyle name="20% - Accent5 3 6 3 2" xfId="15520" xr:uid="{411758FB-B3A5-4371-BC46-CA713CB713BF}"/>
    <cellStyle name="20% - Accent5 3 6 4" xfId="11303" xr:uid="{2385F9A2-E387-480E-A3AF-7FEAE0FC65FF}"/>
    <cellStyle name="20% - Accent5 3 7" xfId="2301" xr:uid="{00000000-0005-0000-0000-0000F7020000}"/>
    <cellStyle name="20% - Accent5 3 7 2" xfId="6607" xr:uid="{00000000-0005-0000-0000-0000F8020000}"/>
    <cellStyle name="20% - Accent5 3 7 2 2" xfId="15933" xr:uid="{2B182546-7839-4688-ADA8-6D363FF6E514}"/>
    <cellStyle name="20% - Accent5 3 7 3" xfId="11716" xr:uid="{033A9D90-510A-40AE-95C9-CE4126CF3771}"/>
    <cellStyle name="20% - Accent5 3 8" xfId="4541" xr:uid="{00000000-0005-0000-0000-0000F9020000}"/>
    <cellStyle name="20% - Accent5 3 8 2" xfId="13867" xr:uid="{FAB74278-B194-43CE-86F4-C563EBE91A23}"/>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4C39A3E6-1071-4C5D-A766-8BE8A41F7FF0}"/>
    <cellStyle name="20% - Accent5 4 2 2 3" xfId="12211" xr:uid="{F7D51DA2-D3F6-4AAA-9EE3-7642909E32F0}"/>
    <cellStyle name="20% - Accent5 4 2 3" xfId="4957" xr:uid="{00000000-0005-0000-0000-0000FE020000}"/>
    <cellStyle name="20% - Accent5 4 2 3 2" xfId="14283" xr:uid="{9864788D-0A8C-490C-92C7-B13C82C5E5CC}"/>
    <cellStyle name="20% - Accent5 4 2 4" xfId="9380" xr:uid="{1C764D65-D71C-4646-AD86-15F83BDBF498}"/>
    <cellStyle name="20% - Accent5 4 2 5" xfId="10066" xr:uid="{3F989B0F-4036-4D5B-BBF4-1C9991A7E347}"/>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1EEA6473-A875-4180-8D00-13063FF4F626}"/>
    <cellStyle name="20% - Accent5 4 3 2 3" xfId="12624" xr:uid="{5FD69CEE-3CA7-480D-A4E2-52F3348572F4}"/>
    <cellStyle name="20% - Accent5 4 3 3" xfId="5370" xr:uid="{00000000-0005-0000-0000-000002030000}"/>
    <cellStyle name="20% - Accent5 4 3 3 2" xfId="14696" xr:uid="{083A17B2-08CF-4BEB-A85B-3A968F90A8D6}"/>
    <cellStyle name="20% - Accent5 4 3 4" xfId="10479" xr:uid="{436C07F4-8749-4846-B60A-31E5CDB53A38}"/>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A7BD73C8-EB1D-4A74-A162-42D5778A9DCF}"/>
    <cellStyle name="20% - Accent5 4 4 2 3" xfId="13037" xr:uid="{25BE64CE-CA4C-44A8-935D-0252CA4E7C22}"/>
    <cellStyle name="20% - Accent5 4 4 3" xfId="5783" xr:uid="{00000000-0005-0000-0000-000006030000}"/>
    <cellStyle name="20% - Accent5 4 4 3 2" xfId="15109" xr:uid="{4048BF50-9CE9-433A-B500-B29A78C36DE8}"/>
    <cellStyle name="20% - Accent5 4 4 4" xfId="10892" xr:uid="{DC9819A6-FB9F-448F-904B-695DBAB363BB}"/>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5AD3E0C9-64F1-4B2B-8698-46BB9A1B0228}"/>
    <cellStyle name="20% - Accent5 4 5 2 3" xfId="13450" xr:uid="{0EDD101F-81A3-413F-A22D-F61675DCE830}"/>
    <cellStyle name="20% - Accent5 4 5 3" xfId="6196" xr:uid="{00000000-0005-0000-0000-00000A030000}"/>
    <cellStyle name="20% - Accent5 4 5 3 2" xfId="15522" xr:uid="{1DC3685E-9AD8-4EAB-8ABB-1D75D2F0E917}"/>
    <cellStyle name="20% - Accent5 4 5 4" xfId="11305" xr:uid="{98A16C98-CB93-4C87-964D-F79369D2E928}"/>
    <cellStyle name="20% - Accent5 4 6" xfId="2303" xr:uid="{00000000-0005-0000-0000-00000B030000}"/>
    <cellStyle name="20% - Accent5 4 6 2" xfId="6609" xr:uid="{00000000-0005-0000-0000-00000C030000}"/>
    <cellStyle name="20% - Accent5 4 6 2 2" xfId="15935" xr:uid="{CA22ACF6-2214-4B20-922F-F938025B9029}"/>
    <cellStyle name="20% - Accent5 4 6 3" xfId="11718" xr:uid="{55C1BABF-EE9F-4A8C-AF6E-D31021D192C4}"/>
    <cellStyle name="20% - Accent5 4 7" xfId="4543" xr:uid="{00000000-0005-0000-0000-00000D030000}"/>
    <cellStyle name="20% - Accent5 4 7 2" xfId="13869" xr:uid="{5AE47831-0FE7-443D-83F7-5662E8097813}"/>
    <cellStyle name="20% - Accent5 4 8" xfId="8955" xr:uid="{8AD43D76-8747-44EC-8D3B-2720ADF9D1B1}"/>
    <cellStyle name="20% - Accent5 4 9" xfId="9652" xr:uid="{EEEEAB12-28B9-4963-AAAE-B4D7B4E8D4C6}"/>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D92327BC-78A8-4625-8346-450691AC4732}"/>
    <cellStyle name="20% - Accent5 5 2 3" xfId="12204" xr:uid="{A69BABA8-9815-483D-86B3-354133E15119}"/>
    <cellStyle name="20% - Accent5 5 3" xfId="4950" xr:uid="{00000000-0005-0000-0000-000011030000}"/>
    <cellStyle name="20% - Accent5 5 3 2" xfId="14276" xr:uid="{3249B4D4-63F4-4D4D-A8D5-E1117DA0E95E}"/>
    <cellStyle name="20% - Accent5 5 4" xfId="9188" xr:uid="{164CF7CE-7706-426C-90AA-4867A06E28BD}"/>
    <cellStyle name="20% - Accent5 5 5" xfId="10059" xr:uid="{E8659347-8251-49A1-BC40-A11ED1461BBC}"/>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216C4462-4D5F-4BBE-9669-4BFC16E03647}"/>
    <cellStyle name="20% - Accent5 6 2 3" xfId="12617" xr:uid="{D5762026-B878-432E-863A-71DA4363104D}"/>
    <cellStyle name="20% - Accent5 6 3" xfId="5363" xr:uid="{00000000-0005-0000-0000-000015030000}"/>
    <cellStyle name="20% - Accent5 6 3 2" xfId="14689" xr:uid="{51B53F0A-309F-4660-B987-E87C89F70356}"/>
    <cellStyle name="20% - Accent5 6 4" xfId="10472" xr:uid="{E31B7B5E-B23E-4233-B2ED-34331B6B6AAA}"/>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F8ABCC13-9D09-4B3C-A904-DA9326E79DF2}"/>
    <cellStyle name="20% - Accent5 7 2 3" xfId="13030" xr:uid="{C90AC489-2BA5-4DA8-9DCF-A92A0B8D7C0D}"/>
    <cellStyle name="20% - Accent5 7 3" xfId="5776" xr:uid="{00000000-0005-0000-0000-000019030000}"/>
    <cellStyle name="20% - Accent5 7 3 2" xfId="15102" xr:uid="{CBE1A5C4-59EF-4D1F-9C61-4F9BB636AE02}"/>
    <cellStyle name="20% - Accent5 7 4" xfId="10885" xr:uid="{1657C1A8-C79F-41DF-8515-AA4112C5FBE6}"/>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75A466D2-9EF3-4026-8352-43155FB093E6}"/>
    <cellStyle name="20% - Accent5 8 2 3" xfId="13443" xr:uid="{B4E0F244-F40A-43A0-A199-1562238089B7}"/>
    <cellStyle name="20% - Accent5 8 3" xfId="6189" xr:uid="{00000000-0005-0000-0000-00001D030000}"/>
    <cellStyle name="20% - Accent5 8 3 2" xfId="15515" xr:uid="{2AC211CC-2AD7-491E-9633-053F5E3DA791}"/>
    <cellStyle name="20% - Accent5 8 4" xfId="11298" xr:uid="{CAFD8044-89B0-47AC-AC7F-DE351EF48F13}"/>
    <cellStyle name="20% - Accent5 9" xfId="2296" xr:uid="{00000000-0005-0000-0000-00001E030000}"/>
    <cellStyle name="20% - Accent5 9 2" xfId="6602" xr:uid="{00000000-0005-0000-0000-00001F030000}"/>
    <cellStyle name="20% - Accent5 9 2 2" xfId="15928" xr:uid="{BCF519FC-371D-4084-A955-8F7879048322}"/>
    <cellStyle name="20% - Accent5 9 3" xfId="11711" xr:uid="{96E569E3-D78A-4F11-A2A1-F303E942094D}"/>
    <cellStyle name="20% - Accent6" xfId="41" builtinId="50" customBuiltin="1"/>
    <cellStyle name="20% - Accent6 10" xfId="4544" xr:uid="{00000000-0005-0000-0000-000021030000}"/>
    <cellStyle name="20% - Accent6 10 2" xfId="13870" xr:uid="{A8C2B795-51FB-41F7-AF5C-0EFF5EB043D5}"/>
    <cellStyle name="20% - Accent6 11" xfId="8768" xr:uid="{5A1F1293-A19F-445F-908A-D9DBB6265CA0}"/>
    <cellStyle name="20% - Accent6 12" xfId="9653" xr:uid="{B9EBDFA1-CE5B-44CB-9BEC-C72D144818F6}"/>
    <cellStyle name="20% - Accent6 2" xfId="42" xr:uid="{00000000-0005-0000-0000-000022030000}"/>
    <cellStyle name="20% - Accent6 2 10" xfId="8795" xr:uid="{9A35B19E-8802-437A-ABDC-7B06A4E07F58}"/>
    <cellStyle name="20% - Accent6 2 11" xfId="9654" xr:uid="{B0AD3A18-767E-435F-9416-A60AE5B2FA68}"/>
    <cellStyle name="20% - Accent6 2 2" xfId="43" xr:uid="{00000000-0005-0000-0000-000023030000}"/>
    <cellStyle name="20% - Accent6 2 2 10" xfId="9655" xr:uid="{CEC50E42-AA88-40FA-8356-0E570273D467}"/>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686A93E1-9D8F-47BC-9C1C-15B90B34A44C}"/>
    <cellStyle name="20% - Accent6 2 2 2 2 2 3" xfId="12215" xr:uid="{30418A9D-F97D-41D1-8A4E-F9B194C0651F}"/>
    <cellStyle name="20% - Accent6 2 2 2 2 3" xfId="4961" xr:uid="{00000000-0005-0000-0000-000028030000}"/>
    <cellStyle name="20% - Accent6 2 2 2 2 3 2" xfId="14287" xr:uid="{384B0153-9138-4C9A-B729-A4E9C55DF761}"/>
    <cellStyle name="20% - Accent6 2 2 2 2 4" xfId="9530" xr:uid="{AFD3EE0E-70EF-4C1B-B994-7B8E7E8187BC}"/>
    <cellStyle name="20% - Accent6 2 2 2 2 5" xfId="10070" xr:uid="{BB24CF27-A023-4A2A-8268-481481E29237}"/>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03FA7907-1826-4A4F-A216-B1C8E56D4257}"/>
    <cellStyle name="20% - Accent6 2 2 2 3 2 3" xfId="12628" xr:uid="{7A604E91-FA8D-45E5-80CA-30E29B5706AD}"/>
    <cellStyle name="20% - Accent6 2 2 2 3 3" xfId="5374" xr:uid="{00000000-0005-0000-0000-00002C030000}"/>
    <cellStyle name="20% - Accent6 2 2 2 3 3 2" xfId="14700" xr:uid="{5D28242E-34B2-4D06-A020-80B5F0B3B069}"/>
    <cellStyle name="20% - Accent6 2 2 2 3 4" xfId="10483" xr:uid="{8F1902C4-6304-4BF0-8738-2D9583AF3C96}"/>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ACD9364C-E38A-430F-8C9A-0B504846305F}"/>
    <cellStyle name="20% - Accent6 2 2 2 4 2 3" xfId="13041" xr:uid="{A68C61F9-4B5E-4A21-8A49-03D023C1D35F}"/>
    <cellStyle name="20% - Accent6 2 2 2 4 3" xfId="5787" xr:uid="{00000000-0005-0000-0000-000030030000}"/>
    <cellStyle name="20% - Accent6 2 2 2 4 3 2" xfId="15113" xr:uid="{BD7BD782-848A-4A2E-96E9-2C9A19CCC1DB}"/>
    <cellStyle name="20% - Accent6 2 2 2 4 4" xfId="10896" xr:uid="{1AFFE7F1-1C6B-4C49-8242-F5C47E52B419}"/>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B3263CE1-99B5-4E39-9FF2-444691178DD9}"/>
    <cellStyle name="20% - Accent6 2 2 2 5 2 3" xfId="13454" xr:uid="{4A23E7CE-E847-498A-BB61-3A294C706F79}"/>
    <cellStyle name="20% - Accent6 2 2 2 5 3" xfId="6200" xr:uid="{00000000-0005-0000-0000-000034030000}"/>
    <cellStyle name="20% - Accent6 2 2 2 5 3 2" xfId="15526" xr:uid="{132413EF-2E46-48E2-9ACE-CC91839E6F7D}"/>
    <cellStyle name="20% - Accent6 2 2 2 5 4" xfId="11309" xr:uid="{9E8B5923-AFD2-4FA9-82E3-1016FDE8B4E6}"/>
    <cellStyle name="20% - Accent6 2 2 2 6" xfId="2307" xr:uid="{00000000-0005-0000-0000-000035030000}"/>
    <cellStyle name="20% - Accent6 2 2 2 6 2" xfId="6613" xr:uid="{00000000-0005-0000-0000-000036030000}"/>
    <cellStyle name="20% - Accent6 2 2 2 6 2 2" xfId="15939" xr:uid="{FB7AD610-475D-41B8-A507-B56E95EB3FC6}"/>
    <cellStyle name="20% - Accent6 2 2 2 6 3" xfId="11722" xr:uid="{55278DC8-EE7B-4392-9005-A7AD4483DD70}"/>
    <cellStyle name="20% - Accent6 2 2 2 7" xfId="4547" xr:uid="{00000000-0005-0000-0000-000037030000}"/>
    <cellStyle name="20% - Accent6 2 2 2 7 2" xfId="13873" xr:uid="{CACF5D84-37AF-419D-9468-CD14CEA707B1}"/>
    <cellStyle name="20% - Accent6 2 2 2 8" xfId="9105" xr:uid="{2D3B6B01-F2FB-4D08-A7F9-9902961EFB46}"/>
    <cellStyle name="20% - Accent6 2 2 2 9" xfId="9656" xr:uid="{308AF1F9-B00B-49E1-9AC9-CF1BA1589C62}"/>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D414EADA-5D54-4429-A361-1077D0FD5251}"/>
    <cellStyle name="20% - Accent6 2 2 3 2 3" xfId="12214" xr:uid="{E19E18D1-3E93-4B03-8C94-B4CC9C043315}"/>
    <cellStyle name="20% - Accent6 2 2 3 3" xfId="4960" xr:uid="{00000000-0005-0000-0000-00003B030000}"/>
    <cellStyle name="20% - Accent6 2 2 3 3 2" xfId="14286" xr:uid="{737F2B7B-1687-4BB7-87F5-53A7F9D94F4D}"/>
    <cellStyle name="20% - Accent6 2 2 3 4" xfId="9323" xr:uid="{93CC3C58-EC1C-4AC6-8D02-E00EFD80A494}"/>
    <cellStyle name="20% - Accent6 2 2 3 5" xfId="10069" xr:uid="{73EA40DD-DA3B-4A53-A826-3FD90AC3D0AD}"/>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EA80A19D-4D49-4B56-8DFA-3FD8057BCAB0}"/>
    <cellStyle name="20% - Accent6 2 2 4 2 3" xfId="12627" xr:uid="{D4229172-D242-4CD3-9CC2-1C018BEE5B8A}"/>
    <cellStyle name="20% - Accent6 2 2 4 3" xfId="5373" xr:uid="{00000000-0005-0000-0000-00003F030000}"/>
    <cellStyle name="20% - Accent6 2 2 4 3 2" xfId="14699" xr:uid="{F3E9A088-73BC-4571-822A-49DEBC2015B0}"/>
    <cellStyle name="20% - Accent6 2 2 4 4" xfId="10482" xr:uid="{90E1CCB2-02FD-4BFC-80E0-6D78EAE65C06}"/>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CF4676C5-58FD-49DF-848E-6413022B3D89}"/>
    <cellStyle name="20% - Accent6 2 2 5 2 3" xfId="13040" xr:uid="{E5881B60-E4C7-46E6-A1AD-F99475553899}"/>
    <cellStyle name="20% - Accent6 2 2 5 3" xfId="5786" xr:uid="{00000000-0005-0000-0000-000043030000}"/>
    <cellStyle name="20% - Accent6 2 2 5 3 2" xfId="15112" xr:uid="{002453FE-8429-402D-87CA-197757B5AA04}"/>
    <cellStyle name="20% - Accent6 2 2 5 4" xfId="10895" xr:uid="{D5F85DB0-B04F-40A6-8016-037E7E97E09F}"/>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44BD331E-F723-4EE4-AD6A-33B08953F659}"/>
    <cellStyle name="20% - Accent6 2 2 6 2 3" xfId="13453" xr:uid="{EDA99313-4879-4D0E-8DBA-2A55EE7DCFDC}"/>
    <cellStyle name="20% - Accent6 2 2 6 3" xfId="6199" xr:uid="{00000000-0005-0000-0000-000047030000}"/>
    <cellStyle name="20% - Accent6 2 2 6 3 2" xfId="15525" xr:uid="{B4CCDA95-21D7-4BC5-9833-4EE1C0E97AA1}"/>
    <cellStyle name="20% - Accent6 2 2 6 4" xfId="11308" xr:uid="{682C603A-A00A-49AA-81BA-9A3411A7D1B3}"/>
    <cellStyle name="20% - Accent6 2 2 7" xfId="2306" xr:uid="{00000000-0005-0000-0000-000048030000}"/>
    <cellStyle name="20% - Accent6 2 2 7 2" xfId="6612" xr:uid="{00000000-0005-0000-0000-000049030000}"/>
    <cellStyle name="20% - Accent6 2 2 7 2 2" xfId="15938" xr:uid="{F655CFB2-09E9-49AA-9CAE-833588CCF501}"/>
    <cellStyle name="20% - Accent6 2 2 7 3" xfId="11721" xr:uid="{D6361945-2134-4B9C-9845-82B5D84A9C71}"/>
    <cellStyle name="20% - Accent6 2 2 8" xfId="4546" xr:uid="{00000000-0005-0000-0000-00004A030000}"/>
    <cellStyle name="20% - Accent6 2 2 8 2" xfId="13872" xr:uid="{65BBFE1B-C8AC-4C57-A6B2-30A2340D07A3}"/>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E38C8D8D-52FB-4F1D-819D-CD2090110AB1}"/>
    <cellStyle name="20% - Accent6 2 3 2 2 3" xfId="12216" xr:uid="{9BA7F5CB-EA4D-4D78-B105-0E94A991153D}"/>
    <cellStyle name="20% - Accent6 2 3 2 3" xfId="4962" xr:uid="{00000000-0005-0000-0000-00004F030000}"/>
    <cellStyle name="20% - Accent6 2 3 2 3 2" xfId="14288" xr:uid="{DF1CAA7A-11DD-4134-9202-1F9D233691B8}"/>
    <cellStyle name="20% - Accent6 2 3 2 4" xfId="9427" xr:uid="{009378B6-C0A8-4C7C-A9A2-F91104842D93}"/>
    <cellStyle name="20% - Accent6 2 3 2 5" xfId="10071" xr:uid="{749CE698-6054-4323-936C-29965BA3A44D}"/>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3275488B-B1AA-42BD-BE24-E62BA4967244}"/>
    <cellStyle name="20% - Accent6 2 3 3 2 3" xfId="12629" xr:uid="{62312536-D762-4C3B-B0B4-6F190D1C8B2B}"/>
    <cellStyle name="20% - Accent6 2 3 3 3" xfId="5375" xr:uid="{00000000-0005-0000-0000-000053030000}"/>
    <cellStyle name="20% - Accent6 2 3 3 3 2" xfId="14701" xr:uid="{9C8CFA09-5564-4FF4-A78F-25F4F8D06BE7}"/>
    <cellStyle name="20% - Accent6 2 3 3 4" xfId="10484" xr:uid="{314A0E5C-57EA-460E-9FED-B5B80854ED0F}"/>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6AF6B090-F5E4-4EB6-95FA-EF20B2C3DA72}"/>
    <cellStyle name="20% - Accent6 2 3 4 2 3" xfId="13042" xr:uid="{7491FCDC-BE6C-488A-A2C5-CEEB3E92DF02}"/>
    <cellStyle name="20% - Accent6 2 3 4 3" xfId="5788" xr:uid="{00000000-0005-0000-0000-000057030000}"/>
    <cellStyle name="20% - Accent6 2 3 4 3 2" xfId="15114" xr:uid="{65DFD3A2-21AD-4199-82FA-D8C27DB01DAB}"/>
    <cellStyle name="20% - Accent6 2 3 4 4" xfId="10897" xr:uid="{BED7B5F6-D476-4781-A911-1AEDB4B0538F}"/>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D71F546D-7DCD-45F2-82C3-DC9E7A15BAC2}"/>
    <cellStyle name="20% - Accent6 2 3 5 2 3" xfId="13455" xr:uid="{FCFD8740-9312-4149-8FD1-DE881C6FC383}"/>
    <cellStyle name="20% - Accent6 2 3 5 3" xfId="6201" xr:uid="{00000000-0005-0000-0000-00005B030000}"/>
    <cellStyle name="20% - Accent6 2 3 5 3 2" xfId="15527" xr:uid="{D82986D3-5D44-46B5-99F2-C77B2EFA47A0}"/>
    <cellStyle name="20% - Accent6 2 3 5 4" xfId="11310" xr:uid="{BC97F902-BBC9-4843-92AF-0EB52879304E}"/>
    <cellStyle name="20% - Accent6 2 3 6" xfId="2308" xr:uid="{00000000-0005-0000-0000-00005C030000}"/>
    <cellStyle name="20% - Accent6 2 3 6 2" xfId="6614" xr:uid="{00000000-0005-0000-0000-00005D030000}"/>
    <cellStyle name="20% - Accent6 2 3 6 2 2" xfId="15940" xr:uid="{C30AE064-25E4-422A-8261-812B78783FF1}"/>
    <cellStyle name="20% - Accent6 2 3 6 3" xfId="11723" xr:uid="{62453AF6-24F0-4919-BCE9-3BFF9E0102AA}"/>
    <cellStyle name="20% - Accent6 2 3 7" xfId="4548" xr:uid="{00000000-0005-0000-0000-00005E030000}"/>
    <cellStyle name="20% - Accent6 2 3 7 2" xfId="13874" xr:uid="{6F011FD9-7801-4892-A236-C7EBD5697D29}"/>
    <cellStyle name="20% - Accent6 2 3 8" xfId="9002" xr:uid="{F69877AB-868C-474F-8F88-C5F2F1F2C041}"/>
    <cellStyle name="20% - Accent6 2 3 9" xfId="9657" xr:uid="{F65E92FB-82B3-4CBE-A33C-EB5A6CF798DD}"/>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04B03DA9-4864-46CC-B1F0-00196DBABB8F}"/>
    <cellStyle name="20% - Accent6 2 4 2 3" xfId="12213" xr:uid="{C5DAD87D-3438-4534-8E3A-09FD99B282B4}"/>
    <cellStyle name="20% - Accent6 2 4 3" xfId="4959" xr:uid="{00000000-0005-0000-0000-000062030000}"/>
    <cellStyle name="20% - Accent6 2 4 3 2" xfId="14285" xr:uid="{A4AFC68A-D84E-43F2-8A30-9828A1F5A8C1}"/>
    <cellStyle name="20% - Accent6 2 4 4" xfId="9219" xr:uid="{C8AD75F8-261B-45C4-93F0-0E0A49EEEF79}"/>
    <cellStyle name="20% - Accent6 2 4 5" xfId="10068" xr:uid="{10E5F963-204D-4BC5-8D44-84159BC50AA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BE37C46B-DFA9-4945-A7AB-51D0E6FE83BC}"/>
    <cellStyle name="20% - Accent6 2 5 2 3" xfId="12626" xr:uid="{10E94009-89A8-4B05-8B50-26A281A55366}"/>
    <cellStyle name="20% - Accent6 2 5 3" xfId="5372" xr:uid="{00000000-0005-0000-0000-000066030000}"/>
    <cellStyle name="20% - Accent6 2 5 3 2" xfId="14698" xr:uid="{4187109C-358A-407E-A719-432AC5F7A6CE}"/>
    <cellStyle name="20% - Accent6 2 5 4" xfId="10481" xr:uid="{6E793A80-8588-415F-9248-2B7A59405DEA}"/>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DAEEB670-D8B9-427F-8574-233BD8540FB4}"/>
    <cellStyle name="20% - Accent6 2 6 2 3" xfId="13039" xr:uid="{E38F8FBD-A103-4879-A818-A8CB0BA262DA}"/>
    <cellStyle name="20% - Accent6 2 6 3" xfId="5785" xr:uid="{00000000-0005-0000-0000-00006A030000}"/>
    <cellStyle name="20% - Accent6 2 6 3 2" xfId="15111" xr:uid="{42468A94-8D1C-457D-A8BE-9E36CBBE5419}"/>
    <cellStyle name="20% - Accent6 2 6 4" xfId="10894" xr:uid="{AB78906C-5CF7-4F51-916E-9DDF0D74DC13}"/>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29FB08F5-80E3-4B74-9CD5-D6F91E608596}"/>
    <cellStyle name="20% - Accent6 2 7 2 3" xfId="13452" xr:uid="{A79B0B7B-3A47-4368-8B17-617224920806}"/>
    <cellStyle name="20% - Accent6 2 7 3" xfId="6198" xr:uid="{00000000-0005-0000-0000-00006E030000}"/>
    <cellStyle name="20% - Accent6 2 7 3 2" xfId="15524" xr:uid="{6DEFFE9B-B256-454E-B0C0-D48BCE659592}"/>
    <cellStyle name="20% - Accent6 2 7 4" xfId="11307" xr:uid="{732A7512-2634-4711-9E89-6437A5CCD603}"/>
    <cellStyle name="20% - Accent6 2 8" xfId="2305" xr:uid="{00000000-0005-0000-0000-00006F030000}"/>
    <cellStyle name="20% - Accent6 2 8 2" xfId="6611" xr:uid="{00000000-0005-0000-0000-000070030000}"/>
    <cellStyle name="20% - Accent6 2 8 2 2" xfId="15937" xr:uid="{81B9BBED-9F6B-4CA2-A0D5-CD611AE6F6B2}"/>
    <cellStyle name="20% - Accent6 2 8 3" xfId="11720" xr:uid="{2C35F374-9636-4A8C-9D98-43E050B0A5DA}"/>
    <cellStyle name="20% - Accent6 2 9" xfId="4545" xr:uid="{00000000-0005-0000-0000-000071030000}"/>
    <cellStyle name="20% - Accent6 2 9 2" xfId="13871" xr:uid="{B0EE4C20-1A85-4F29-A38D-C51AE3250071}"/>
    <cellStyle name="20% - Accent6 3" xfId="46" xr:uid="{00000000-0005-0000-0000-000072030000}"/>
    <cellStyle name="20% - Accent6 3 10" xfId="9658" xr:uid="{C6100B61-0AC5-4DCD-B155-68F729F9DE52}"/>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4A4F3862-0435-46F1-90AF-B827AB6C230B}"/>
    <cellStyle name="20% - Accent6 3 2 2 2 3" xfId="12218" xr:uid="{FC24A425-054F-41C2-BE86-0E7866623BF0}"/>
    <cellStyle name="20% - Accent6 3 2 2 3" xfId="4964" xr:uid="{00000000-0005-0000-0000-000077030000}"/>
    <cellStyle name="20% - Accent6 3 2 2 3 2" xfId="14290" xr:uid="{B719CE40-2486-4F82-AA9C-17AC15F1CDAE}"/>
    <cellStyle name="20% - Accent6 3 2 2 4" xfId="9503" xr:uid="{A5A3EDF8-16EA-4A86-8795-C3BA46FE244A}"/>
    <cellStyle name="20% - Accent6 3 2 2 5" xfId="10073" xr:uid="{B358DC11-BDC1-4E8E-A341-7B09E67AB6E0}"/>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D8E98AFE-1456-4722-8FED-E14F9E6D8FE0}"/>
    <cellStyle name="20% - Accent6 3 2 3 2 3" xfId="12631" xr:uid="{6514DAF3-9F1E-444F-A156-0A8DB2CF73FA}"/>
    <cellStyle name="20% - Accent6 3 2 3 3" xfId="5377" xr:uid="{00000000-0005-0000-0000-00007B030000}"/>
    <cellStyle name="20% - Accent6 3 2 3 3 2" xfId="14703" xr:uid="{9E791E8B-8314-4BCD-986A-BD1E8845475D}"/>
    <cellStyle name="20% - Accent6 3 2 3 4" xfId="10486" xr:uid="{BD9441E1-BC9F-429C-A284-5FE847C73578}"/>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21E3EC10-C6A9-4733-970A-FDCEC5E9C82B}"/>
    <cellStyle name="20% - Accent6 3 2 4 2 3" xfId="13044" xr:uid="{A9A62A6B-798F-4550-9750-8DCC3216B70C}"/>
    <cellStyle name="20% - Accent6 3 2 4 3" xfId="5790" xr:uid="{00000000-0005-0000-0000-00007F030000}"/>
    <cellStyle name="20% - Accent6 3 2 4 3 2" xfId="15116" xr:uid="{7ED0A432-F658-44C8-BA7E-144EE285EF08}"/>
    <cellStyle name="20% - Accent6 3 2 4 4" xfId="10899" xr:uid="{F0E54B74-BC1E-4AA2-843E-8257FF1E3D6E}"/>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D95718D5-562E-4329-AFE6-4B9E17C792E7}"/>
    <cellStyle name="20% - Accent6 3 2 5 2 3" xfId="13457" xr:uid="{104CC85D-518A-4C82-A303-24AF872C9DAE}"/>
    <cellStyle name="20% - Accent6 3 2 5 3" xfId="6203" xr:uid="{00000000-0005-0000-0000-000083030000}"/>
    <cellStyle name="20% - Accent6 3 2 5 3 2" xfId="15529" xr:uid="{3C2834AE-DA53-4B57-8D0D-497BCDD38472}"/>
    <cellStyle name="20% - Accent6 3 2 5 4" xfId="11312" xr:uid="{D2BFCFBF-F9D7-4314-AE8A-FDF185F61BFC}"/>
    <cellStyle name="20% - Accent6 3 2 6" xfId="2310" xr:uid="{00000000-0005-0000-0000-000084030000}"/>
    <cellStyle name="20% - Accent6 3 2 6 2" xfId="6616" xr:uid="{00000000-0005-0000-0000-000085030000}"/>
    <cellStyle name="20% - Accent6 3 2 6 2 2" xfId="15942" xr:uid="{5F82D1D0-038E-4D74-920C-7DF53169CB26}"/>
    <cellStyle name="20% - Accent6 3 2 6 3" xfId="11725" xr:uid="{9089A851-47CE-490D-B853-C4DAB5D86213}"/>
    <cellStyle name="20% - Accent6 3 2 7" xfId="4550" xr:uid="{00000000-0005-0000-0000-000086030000}"/>
    <cellStyle name="20% - Accent6 3 2 7 2" xfId="13876" xr:uid="{2BCD4166-D99B-4A79-A961-594ED3C8B071}"/>
    <cellStyle name="20% - Accent6 3 2 8" xfId="9078" xr:uid="{55C63253-C10A-44F0-A9A1-D3E9AD1B1E77}"/>
    <cellStyle name="20% - Accent6 3 2 9" xfId="9659" xr:uid="{9203BAFC-B6B6-40A4-A520-D09C1798A4C3}"/>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265AD4EF-DAEE-4E4B-81FE-D7B8EDEE85DD}"/>
    <cellStyle name="20% - Accent6 3 3 2 3" xfId="12217" xr:uid="{8F2DECCE-40E9-43DF-969E-8E379C818EAF}"/>
    <cellStyle name="20% - Accent6 3 3 3" xfId="4963" xr:uid="{00000000-0005-0000-0000-00008A030000}"/>
    <cellStyle name="20% - Accent6 3 3 3 2" xfId="14289" xr:uid="{1DC91ED1-6622-4B00-8AFB-9676A52C2979}"/>
    <cellStyle name="20% - Accent6 3 3 4" xfId="9296" xr:uid="{68DBDAD1-945F-459A-93CE-56D312D1EDE4}"/>
    <cellStyle name="20% - Accent6 3 3 5" xfId="10072" xr:uid="{B5E0E2BE-222C-4551-9A8B-17B7853805CE}"/>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ADDE9148-8BC9-404F-876B-96904E7019F9}"/>
    <cellStyle name="20% - Accent6 3 4 2 3" xfId="12630" xr:uid="{2DA74F15-10D4-464E-9C38-F48AC9C84361}"/>
    <cellStyle name="20% - Accent6 3 4 3" xfId="5376" xr:uid="{00000000-0005-0000-0000-00008E030000}"/>
    <cellStyle name="20% - Accent6 3 4 3 2" xfId="14702" xr:uid="{6F91FA12-298C-47AF-B44A-0DF06377720E}"/>
    <cellStyle name="20% - Accent6 3 4 4" xfId="10485" xr:uid="{6DB8C3A5-8DF9-42E1-B95B-657996821B44}"/>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A7F3BF9F-F5FB-4170-98D6-F953CC35E115}"/>
    <cellStyle name="20% - Accent6 3 5 2 3" xfId="13043" xr:uid="{4FF58F0E-0EB4-4FC3-B00C-59BA56A8AAAE}"/>
    <cellStyle name="20% - Accent6 3 5 3" xfId="5789" xr:uid="{00000000-0005-0000-0000-000092030000}"/>
    <cellStyle name="20% - Accent6 3 5 3 2" xfId="15115" xr:uid="{4E79C776-DAEF-4ED8-9EE8-B44BD98220E8}"/>
    <cellStyle name="20% - Accent6 3 5 4" xfId="10898" xr:uid="{B5912379-5943-42D4-B009-9AD9E33E5C6C}"/>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BA6B7249-B209-4336-9C8C-9F93D1B1C650}"/>
    <cellStyle name="20% - Accent6 3 6 2 3" xfId="13456" xr:uid="{EC50F57F-FD50-49BF-B2CA-F9F67D3BF058}"/>
    <cellStyle name="20% - Accent6 3 6 3" xfId="6202" xr:uid="{00000000-0005-0000-0000-000096030000}"/>
    <cellStyle name="20% - Accent6 3 6 3 2" xfId="15528" xr:uid="{821AE157-A570-41CE-8435-A265A12D3572}"/>
    <cellStyle name="20% - Accent6 3 6 4" xfId="11311" xr:uid="{5F0D3F78-7E78-4209-A3AD-50BC06CB5241}"/>
    <cellStyle name="20% - Accent6 3 7" xfId="2309" xr:uid="{00000000-0005-0000-0000-000097030000}"/>
    <cellStyle name="20% - Accent6 3 7 2" xfId="6615" xr:uid="{00000000-0005-0000-0000-000098030000}"/>
    <cellStyle name="20% - Accent6 3 7 2 2" xfId="15941" xr:uid="{962B4573-F01A-419D-9BEC-37702EA34083}"/>
    <cellStyle name="20% - Accent6 3 7 3" xfId="11724" xr:uid="{4C3B5B72-8B09-4B2F-A856-537882B83CB6}"/>
    <cellStyle name="20% - Accent6 3 8" xfId="4549" xr:uid="{00000000-0005-0000-0000-000099030000}"/>
    <cellStyle name="20% - Accent6 3 8 2" xfId="13875" xr:uid="{4BCCB0B8-6523-4E80-B27B-59C90788D5AA}"/>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4425D6E7-CA1C-4866-82F9-4EF0A46B2960}"/>
    <cellStyle name="20% - Accent6 4 2 2 3" xfId="12219" xr:uid="{4542434F-D0DD-46CB-AFE2-5CA40F1517A0}"/>
    <cellStyle name="20% - Accent6 4 2 3" xfId="4965" xr:uid="{00000000-0005-0000-0000-00009E030000}"/>
    <cellStyle name="20% - Accent6 4 2 3 2" xfId="14291" xr:uid="{4AC70A6B-ADD2-49FF-B036-72ED21C391F6}"/>
    <cellStyle name="20% - Accent6 4 2 4" xfId="9382" xr:uid="{704ED43C-A59A-4E80-A03F-B933767E3A55}"/>
    <cellStyle name="20% - Accent6 4 2 5" xfId="10074" xr:uid="{DA3E7734-B1D5-4D45-B465-AF6250FA670E}"/>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AEA0AC6C-C2E1-4106-8516-797C4E81BC54}"/>
    <cellStyle name="20% - Accent6 4 3 2 3" xfId="12632" xr:uid="{91C968DD-F3D5-4AD0-90D6-89C5FA3B5C3C}"/>
    <cellStyle name="20% - Accent6 4 3 3" xfId="5378" xr:uid="{00000000-0005-0000-0000-0000A2030000}"/>
    <cellStyle name="20% - Accent6 4 3 3 2" xfId="14704" xr:uid="{25DA75F3-1A8A-4918-92F8-37B4C2840134}"/>
    <cellStyle name="20% - Accent6 4 3 4" xfId="10487" xr:uid="{CFF24264-2D63-4196-A469-1DD5D38273F8}"/>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0FE44040-E8F0-48C1-88E5-5A86DCDD6D8F}"/>
    <cellStyle name="20% - Accent6 4 4 2 3" xfId="13045" xr:uid="{9C182F97-4B82-4639-B7ED-81CE9A413DE9}"/>
    <cellStyle name="20% - Accent6 4 4 3" xfId="5791" xr:uid="{00000000-0005-0000-0000-0000A6030000}"/>
    <cellStyle name="20% - Accent6 4 4 3 2" xfId="15117" xr:uid="{3824D208-9364-43F6-ABF5-ADD510F3DA8A}"/>
    <cellStyle name="20% - Accent6 4 4 4" xfId="10900" xr:uid="{11CC74A9-F5D3-4263-90B2-0E725959895E}"/>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B369A8CE-9432-4ED0-A825-DC670ED06E10}"/>
    <cellStyle name="20% - Accent6 4 5 2 3" xfId="13458" xr:uid="{DD1D7DFF-8E72-48D8-A459-B354E6252759}"/>
    <cellStyle name="20% - Accent6 4 5 3" xfId="6204" xr:uid="{00000000-0005-0000-0000-0000AA030000}"/>
    <cellStyle name="20% - Accent6 4 5 3 2" xfId="15530" xr:uid="{3E95FE7F-5804-442B-9415-8C6AE46CAE6C}"/>
    <cellStyle name="20% - Accent6 4 5 4" xfId="11313" xr:uid="{8459DA59-F620-4202-996F-5B0E84989EE2}"/>
    <cellStyle name="20% - Accent6 4 6" xfId="2311" xr:uid="{00000000-0005-0000-0000-0000AB030000}"/>
    <cellStyle name="20% - Accent6 4 6 2" xfId="6617" xr:uid="{00000000-0005-0000-0000-0000AC030000}"/>
    <cellStyle name="20% - Accent6 4 6 2 2" xfId="15943" xr:uid="{EB15E691-3E35-4766-B65B-23572F248B7A}"/>
    <cellStyle name="20% - Accent6 4 6 3" xfId="11726" xr:uid="{BB9B3D50-4426-4701-BE7A-89EC4C782C28}"/>
    <cellStyle name="20% - Accent6 4 7" xfId="4551" xr:uid="{00000000-0005-0000-0000-0000AD030000}"/>
    <cellStyle name="20% - Accent6 4 7 2" xfId="13877" xr:uid="{6C2E6996-729A-4CEA-B829-182C0CC6359C}"/>
    <cellStyle name="20% - Accent6 4 8" xfId="8957" xr:uid="{03E1DA3A-6A3F-4C0D-9844-2D38E7BA13BC}"/>
    <cellStyle name="20% - Accent6 4 9" xfId="9660" xr:uid="{351DB7CD-46F6-41A7-9597-CDB49A45B1CF}"/>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C7AB16A5-DE38-4CE8-9DC1-15D6F1513EE3}"/>
    <cellStyle name="20% - Accent6 5 2 3" xfId="12212" xr:uid="{46BA831E-215B-48C9-842D-883F891B19F8}"/>
    <cellStyle name="20% - Accent6 5 3" xfId="4958" xr:uid="{00000000-0005-0000-0000-0000B1030000}"/>
    <cellStyle name="20% - Accent6 5 3 2" xfId="14284" xr:uid="{6F20F5B4-12DF-4EB3-B5DE-E995D4583447}"/>
    <cellStyle name="20% - Accent6 5 4" xfId="9191" xr:uid="{C812E2E5-5572-4E86-9CB6-C7C53792C044}"/>
    <cellStyle name="20% - Accent6 5 5" xfId="10067" xr:uid="{AD651319-09BB-4D4E-BF34-3024A1B9AAB3}"/>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06B19794-306F-4B57-B449-C3F96CC3F9DC}"/>
    <cellStyle name="20% - Accent6 6 2 3" xfId="12625" xr:uid="{CD4F34A6-D002-4B46-9C42-A3663D984FF5}"/>
    <cellStyle name="20% - Accent6 6 3" xfId="5371" xr:uid="{00000000-0005-0000-0000-0000B5030000}"/>
    <cellStyle name="20% - Accent6 6 3 2" xfId="14697" xr:uid="{685255D6-DABF-4C7C-A125-B878D099D1A8}"/>
    <cellStyle name="20% - Accent6 6 4" xfId="10480" xr:uid="{BE00C593-E088-436D-96A8-E86741250BC2}"/>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D95AC9B7-3FA7-46A7-AB66-BA03CFEA2938}"/>
    <cellStyle name="20% - Accent6 7 2 3" xfId="13038" xr:uid="{8CEAA37D-5122-46BB-BE3F-A964BA8CA6A5}"/>
    <cellStyle name="20% - Accent6 7 3" xfId="5784" xr:uid="{00000000-0005-0000-0000-0000B9030000}"/>
    <cellStyle name="20% - Accent6 7 3 2" xfId="15110" xr:uid="{5510D6B6-DD02-429B-A73D-39810472C3C9}"/>
    <cellStyle name="20% - Accent6 7 4" xfId="10893" xr:uid="{F2039B22-B2E7-4326-8029-C9A40D91D15E}"/>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B3EF5610-5706-400D-9F75-DE06213C978C}"/>
    <cellStyle name="20% - Accent6 8 2 3" xfId="13451" xr:uid="{B69E79C9-C6FE-4EFA-AFFF-753427981240}"/>
    <cellStyle name="20% - Accent6 8 3" xfId="6197" xr:uid="{00000000-0005-0000-0000-0000BD030000}"/>
    <cellStyle name="20% - Accent6 8 3 2" xfId="15523" xr:uid="{40A0D71E-FB34-499A-8595-D20A8DA4040E}"/>
    <cellStyle name="20% - Accent6 8 4" xfId="11306" xr:uid="{48E5EA01-18C5-4F65-8250-E6A9FB7AE485}"/>
    <cellStyle name="20% - Accent6 9" xfId="2304" xr:uid="{00000000-0005-0000-0000-0000BE030000}"/>
    <cellStyle name="20% - Accent6 9 2" xfId="6610" xr:uid="{00000000-0005-0000-0000-0000BF030000}"/>
    <cellStyle name="20% - Accent6 9 2 2" xfId="15936" xr:uid="{4E929E53-0DAF-4C18-B525-AB26E4879515}"/>
    <cellStyle name="20% - Accent6 9 3" xfId="11719" xr:uid="{53408E24-409A-44B3-AEDD-3EDDDC81F5DF}"/>
    <cellStyle name="40% - Accent1" xfId="49" builtinId="31" customBuiltin="1"/>
    <cellStyle name="40% - Accent1 10" xfId="4552" xr:uid="{00000000-0005-0000-0000-0000C1030000}"/>
    <cellStyle name="40% - Accent1 10 2" xfId="13878" xr:uid="{DB663B8C-353F-4E06-8A6F-7204F7C0F1A5}"/>
    <cellStyle name="40% - Accent1 11" xfId="8759" xr:uid="{E0AA4078-00FF-4C00-81ED-1F048AC6C533}"/>
    <cellStyle name="40% - Accent1 12" xfId="9661" xr:uid="{E1EC7F64-6E62-4565-9613-76DA32D1FB05}"/>
    <cellStyle name="40% - Accent1 2" xfId="50" xr:uid="{00000000-0005-0000-0000-0000C2030000}"/>
    <cellStyle name="40% - Accent1 2 10" xfId="8798" xr:uid="{82026451-631C-40CA-BC49-BE5DA2EA921A}"/>
    <cellStyle name="40% - Accent1 2 11" xfId="9662" xr:uid="{52B61342-7E0F-49C3-B69D-82994440DE91}"/>
    <cellStyle name="40% - Accent1 2 2" xfId="51" xr:uid="{00000000-0005-0000-0000-0000C3030000}"/>
    <cellStyle name="40% - Accent1 2 2 10" xfId="9663" xr:uid="{D473744C-0651-4368-BCE7-D2A91B17A304}"/>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14C8BB55-D292-40A9-9D7E-8FD0E2C80CCD}"/>
    <cellStyle name="40% - Accent1 2 2 2 2 2 3" xfId="12223" xr:uid="{DD978FDB-700A-45E1-B6AD-32EF6B228C09}"/>
    <cellStyle name="40% - Accent1 2 2 2 2 3" xfId="4969" xr:uid="{00000000-0005-0000-0000-0000C8030000}"/>
    <cellStyle name="40% - Accent1 2 2 2 2 3 2" xfId="14295" xr:uid="{3CABE1B8-6112-4957-83AC-3C03C5C6A9BF}"/>
    <cellStyle name="40% - Accent1 2 2 2 2 4" xfId="9533" xr:uid="{757B5AC4-115E-4B90-B4EA-505C31F9B178}"/>
    <cellStyle name="40% - Accent1 2 2 2 2 5" xfId="10078" xr:uid="{26437764-8AD0-4FB7-85A4-D9C938232BC4}"/>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D45364C4-75D1-4C97-8998-2BF09AB9478E}"/>
    <cellStyle name="40% - Accent1 2 2 2 3 2 3" xfId="12636" xr:uid="{7716AAE3-06D4-4B73-9F9A-92EF42DEDE50}"/>
    <cellStyle name="40% - Accent1 2 2 2 3 3" xfId="5382" xr:uid="{00000000-0005-0000-0000-0000CC030000}"/>
    <cellStyle name="40% - Accent1 2 2 2 3 3 2" xfId="14708" xr:uid="{32683B2B-7B42-4E82-83DC-B52EFD94BDDA}"/>
    <cellStyle name="40% - Accent1 2 2 2 3 4" xfId="10491" xr:uid="{B79EB318-274B-4E17-99F2-334DF9311B61}"/>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0144A477-BEEE-49E1-9747-96674E182305}"/>
    <cellStyle name="40% - Accent1 2 2 2 4 2 3" xfId="13049" xr:uid="{0CCFDD08-5021-47C1-9861-0A5DE5C9F0C9}"/>
    <cellStyle name="40% - Accent1 2 2 2 4 3" xfId="5795" xr:uid="{00000000-0005-0000-0000-0000D0030000}"/>
    <cellStyle name="40% - Accent1 2 2 2 4 3 2" xfId="15121" xr:uid="{47CB1DBF-7F47-437B-979F-F80215562B99}"/>
    <cellStyle name="40% - Accent1 2 2 2 4 4" xfId="10904" xr:uid="{F640B30A-3120-415E-8D08-02AC6219DFE8}"/>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248D76DD-3574-4F14-A485-4FA2733D61F5}"/>
    <cellStyle name="40% - Accent1 2 2 2 5 2 3" xfId="13462" xr:uid="{BDE82555-B011-4491-B326-809BF3706B77}"/>
    <cellStyle name="40% - Accent1 2 2 2 5 3" xfId="6208" xr:uid="{00000000-0005-0000-0000-0000D4030000}"/>
    <cellStyle name="40% - Accent1 2 2 2 5 3 2" xfId="15534" xr:uid="{47899B7A-52F0-41CF-96D1-3CC429FAC78F}"/>
    <cellStyle name="40% - Accent1 2 2 2 5 4" xfId="11317" xr:uid="{4A6DC26D-05FC-4705-A3BF-D28B0027CA6A}"/>
    <cellStyle name="40% - Accent1 2 2 2 6" xfId="2315" xr:uid="{00000000-0005-0000-0000-0000D5030000}"/>
    <cellStyle name="40% - Accent1 2 2 2 6 2" xfId="6621" xr:uid="{00000000-0005-0000-0000-0000D6030000}"/>
    <cellStyle name="40% - Accent1 2 2 2 6 2 2" xfId="15947" xr:uid="{3299E93E-C99F-404A-9E20-869E52C88030}"/>
    <cellStyle name="40% - Accent1 2 2 2 6 3" xfId="11730" xr:uid="{0B8FD7E2-E947-46C1-A6F3-2F040717D526}"/>
    <cellStyle name="40% - Accent1 2 2 2 7" xfId="4555" xr:uid="{00000000-0005-0000-0000-0000D7030000}"/>
    <cellStyle name="40% - Accent1 2 2 2 7 2" xfId="13881" xr:uid="{9B62EB2A-4F49-4503-A046-F9BD8140E6F1}"/>
    <cellStyle name="40% - Accent1 2 2 2 8" xfId="9108" xr:uid="{1189B5E8-DD3C-4F9A-ACD3-DB853C0AC60B}"/>
    <cellStyle name="40% - Accent1 2 2 2 9" xfId="9664" xr:uid="{1D16E7CF-257E-47F0-A4BC-C4A65AB08526}"/>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DE9ACB71-A00E-41C1-B444-FCE2AFB55F0D}"/>
    <cellStyle name="40% - Accent1 2 2 3 2 3" xfId="12222" xr:uid="{04ACABEC-7741-4845-9124-687872ADDBEE}"/>
    <cellStyle name="40% - Accent1 2 2 3 3" xfId="4968" xr:uid="{00000000-0005-0000-0000-0000DB030000}"/>
    <cellStyle name="40% - Accent1 2 2 3 3 2" xfId="14294" xr:uid="{05C1B7B4-73CD-42B7-B7B7-21FD9CE24442}"/>
    <cellStyle name="40% - Accent1 2 2 3 4" xfId="9326" xr:uid="{6D693950-F4D3-4A82-8C01-49E2379281D4}"/>
    <cellStyle name="40% - Accent1 2 2 3 5" xfId="10077" xr:uid="{B38A4312-9A2B-42D4-A970-C59ACDC1F508}"/>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14332F37-CFD2-4ECF-84B5-2ACC829CEEDE}"/>
    <cellStyle name="40% - Accent1 2 2 4 2 3" xfId="12635" xr:uid="{7E5CBF29-C6A6-4700-B48C-57983ACBE49D}"/>
    <cellStyle name="40% - Accent1 2 2 4 3" xfId="5381" xr:uid="{00000000-0005-0000-0000-0000DF030000}"/>
    <cellStyle name="40% - Accent1 2 2 4 3 2" xfId="14707" xr:uid="{54093FF0-BF5E-43F1-9EA2-2F045F5036B0}"/>
    <cellStyle name="40% - Accent1 2 2 4 4" xfId="10490" xr:uid="{8BD949A7-E7BC-4CAE-AB39-F78D50E61231}"/>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91316523-6373-4831-8BD5-804D839ECED4}"/>
    <cellStyle name="40% - Accent1 2 2 5 2 3" xfId="13048" xr:uid="{C8B052DA-2077-459A-99E3-48F2897D45D8}"/>
    <cellStyle name="40% - Accent1 2 2 5 3" xfId="5794" xr:uid="{00000000-0005-0000-0000-0000E3030000}"/>
    <cellStyle name="40% - Accent1 2 2 5 3 2" xfId="15120" xr:uid="{E85CBED3-3443-40C4-BC06-4344ACC9F25F}"/>
    <cellStyle name="40% - Accent1 2 2 5 4" xfId="10903" xr:uid="{5135A0F3-10E3-494B-9BF9-CEA0559814BA}"/>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3EE351E2-0987-4D33-A6F0-384CD3D29BC7}"/>
    <cellStyle name="40% - Accent1 2 2 6 2 3" xfId="13461" xr:uid="{E4A49A38-12A0-4BBE-9947-6E8EEB359416}"/>
    <cellStyle name="40% - Accent1 2 2 6 3" xfId="6207" xr:uid="{00000000-0005-0000-0000-0000E7030000}"/>
    <cellStyle name="40% - Accent1 2 2 6 3 2" xfId="15533" xr:uid="{5BF9AA33-A830-4608-ABA8-E3D3DB87A8BA}"/>
    <cellStyle name="40% - Accent1 2 2 6 4" xfId="11316" xr:uid="{16694C8B-CDC0-4D3A-AEE6-2A1055C67AB1}"/>
    <cellStyle name="40% - Accent1 2 2 7" xfId="2314" xr:uid="{00000000-0005-0000-0000-0000E8030000}"/>
    <cellStyle name="40% - Accent1 2 2 7 2" xfId="6620" xr:uid="{00000000-0005-0000-0000-0000E9030000}"/>
    <cellStyle name="40% - Accent1 2 2 7 2 2" xfId="15946" xr:uid="{4F47C3A3-D56A-4255-96BF-E2B9E1860E5D}"/>
    <cellStyle name="40% - Accent1 2 2 7 3" xfId="11729" xr:uid="{DF55AC15-B63D-4772-8905-2F6A4E0FDBB4}"/>
    <cellStyle name="40% - Accent1 2 2 8" xfId="4554" xr:uid="{00000000-0005-0000-0000-0000EA030000}"/>
    <cellStyle name="40% - Accent1 2 2 8 2" xfId="13880" xr:uid="{E76DB93B-EA3E-4176-B378-F08F061E863E}"/>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9AD5C4B8-5353-4C8C-97C3-F635EDBEBE85}"/>
    <cellStyle name="40% - Accent1 2 3 2 2 3" xfId="12224" xr:uid="{28F9975D-0995-4C3D-BBC7-B2630D43889F}"/>
    <cellStyle name="40% - Accent1 2 3 2 3" xfId="4970" xr:uid="{00000000-0005-0000-0000-0000EF030000}"/>
    <cellStyle name="40% - Accent1 2 3 2 3 2" xfId="14296" xr:uid="{FE21425D-EC89-49CA-80DC-CE0E3B676167}"/>
    <cellStyle name="40% - Accent1 2 3 2 4" xfId="9430" xr:uid="{C79D1FB2-141C-4301-8F37-B3B9643C0550}"/>
    <cellStyle name="40% - Accent1 2 3 2 5" xfId="10079" xr:uid="{B5DE8A54-8E96-4F96-ACC5-D7BCD1AF07F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5B5EDC08-D8A5-475C-BA9F-EA6D1E8538BD}"/>
    <cellStyle name="40% - Accent1 2 3 3 2 3" xfId="12637" xr:uid="{3145D270-EF7E-4EE5-BA6F-49B3A32298DF}"/>
    <cellStyle name="40% - Accent1 2 3 3 3" xfId="5383" xr:uid="{00000000-0005-0000-0000-0000F3030000}"/>
    <cellStyle name="40% - Accent1 2 3 3 3 2" xfId="14709" xr:uid="{B57F42C8-0226-448E-9186-FA4E23CFEBAD}"/>
    <cellStyle name="40% - Accent1 2 3 3 4" xfId="10492" xr:uid="{BDFF36D6-1DE0-4669-BE04-B919B7B9BA5E}"/>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B110477A-C543-4372-B263-7266CE16BDD5}"/>
    <cellStyle name="40% - Accent1 2 3 4 2 3" xfId="13050" xr:uid="{C8340184-BEEB-4A59-8A8F-E901B2DC0946}"/>
    <cellStyle name="40% - Accent1 2 3 4 3" xfId="5796" xr:uid="{00000000-0005-0000-0000-0000F7030000}"/>
    <cellStyle name="40% - Accent1 2 3 4 3 2" xfId="15122" xr:uid="{DD0F85AC-C4C6-40ED-9496-3DA4F4B954C1}"/>
    <cellStyle name="40% - Accent1 2 3 4 4" xfId="10905" xr:uid="{01D8BE45-7E99-4BCA-AA72-1ACE1EF93B05}"/>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7126A493-796D-484D-9A10-81F07DB81FBE}"/>
    <cellStyle name="40% - Accent1 2 3 5 2 3" xfId="13463" xr:uid="{006FF4BB-D0E5-40AB-9F70-54F608AD305B}"/>
    <cellStyle name="40% - Accent1 2 3 5 3" xfId="6209" xr:uid="{00000000-0005-0000-0000-0000FB030000}"/>
    <cellStyle name="40% - Accent1 2 3 5 3 2" xfId="15535" xr:uid="{4062A72C-D6AB-4863-AF4E-702BC6A0FA0C}"/>
    <cellStyle name="40% - Accent1 2 3 5 4" xfId="11318" xr:uid="{E2EFE0AE-0EEA-4830-82B9-0C7D152F8640}"/>
    <cellStyle name="40% - Accent1 2 3 6" xfId="2316" xr:uid="{00000000-0005-0000-0000-0000FC030000}"/>
    <cellStyle name="40% - Accent1 2 3 6 2" xfId="6622" xr:uid="{00000000-0005-0000-0000-0000FD030000}"/>
    <cellStyle name="40% - Accent1 2 3 6 2 2" xfId="15948" xr:uid="{EE57236B-24C9-4B23-BFCA-39A1100B8004}"/>
    <cellStyle name="40% - Accent1 2 3 6 3" xfId="11731" xr:uid="{37937A41-1296-4950-AF7C-B17284F73FDA}"/>
    <cellStyle name="40% - Accent1 2 3 7" xfId="4556" xr:uid="{00000000-0005-0000-0000-0000FE030000}"/>
    <cellStyle name="40% - Accent1 2 3 7 2" xfId="13882" xr:uid="{6E6D51A9-25E0-438A-9658-2881BBC77F3F}"/>
    <cellStyle name="40% - Accent1 2 3 8" xfId="9005" xr:uid="{83AF69B9-664F-4E19-B721-7989C2FEBC0C}"/>
    <cellStyle name="40% - Accent1 2 3 9" xfId="9665" xr:uid="{B63EDCDC-743E-480F-BF4B-DAE4CFCA6504}"/>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FADEC07A-A9C9-4B9B-A1A7-FE2D7A15DAF4}"/>
    <cellStyle name="40% - Accent1 2 4 2 3" xfId="12221" xr:uid="{C3C7331C-F260-4B86-90DC-3FE29B656688}"/>
    <cellStyle name="40% - Accent1 2 4 3" xfId="4967" xr:uid="{00000000-0005-0000-0000-000002040000}"/>
    <cellStyle name="40% - Accent1 2 4 3 2" xfId="14293" xr:uid="{B2E58A3A-0925-4B91-B61C-2F90A0AF6FC0}"/>
    <cellStyle name="40% - Accent1 2 4 4" xfId="9222" xr:uid="{A6B83122-AC98-4E58-AA4D-EC5ECC38FC6B}"/>
    <cellStyle name="40% - Accent1 2 4 5" xfId="10076" xr:uid="{52FD2971-F78D-435E-BA65-91EDCB6DF541}"/>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5A386908-4D49-4024-B883-49CCD1A37EEC}"/>
    <cellStyle name="40% - Accent1 2 5 2 3" xfId="12634" xr:uid="{870DD103-29B4-4743-AB18-BE3047D646E7}"/>
    <cellStyle name="40% - Accent1 2 5 3" xfId="5380" xr:uid="{00000000-0005-0000-0000-000006040000}"/>
    <cellStyle name="40% - Accent1 2 5 3 2" xfId="14706" xr:uid="{BB5BA808-62B7-4F92-A463-594221AF8DB3}"/>
    <cellStyle name="40% - Accent1 2 5 4" xfId="10489" xr:uid="{E4313823-37A8-4944-9E86-D48C8CCDE45A}"/>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AB7C5114-6EE4-4313-85F4-1ED3D12B8C77}"/>
    <cellStyle name="40% - Accent1 2 6 2 3" xfId="13047" xr:uid="{51F3D268-5818-4AB4-A78A-16003F481F7B}"/>
    <cellStyle name="40% - Accent1 2 6 3" xfId="5793" xr:uid="{00000000-0005-0000-0000-00000A040000}"/>
    <cellStyle name="40% - Accent1 2 6 3 2" xfId="15119" xr:uid="{888CFF81-4D72-4EBF-9F25-3F2E22A54A37}"/>
    <cellStyle name="40% - Accent1 2 6 4" xfId="10902" xr:uid="{376D576B-1DC9-4AAA-935E-F6F15A00F1C0}"/>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D0AF248B-600F-4284-A6E0-72AC2C3214DD}"/>
    <cellStyle name="40% - Accent1 2 7 2 3" xfId="13460" xr:uid="{7B38040A-D765-4AD7-937B-6B08E67EC9BE}"/>
    <cellStyle name="40% - Accent1 2 7 3" xfId="6206" xr:uid="{00000000-0005-0000-0000-00000E040000}"/>
    <cellStyle name="40% - Accent1 2 7 3 2" xfId="15532" xr:uid="{B19DFB5F-8FE4-42BC-A58B-51634094AA7D}"/>
    <cellStyle name="40% - Accent1 2 7 4" xfId="11315" xr:uid="{06F1D449-4E68-4B0A-AD1A-F721734D95E5}"/>
    <cellStyle name="40% - Accent1 2 8" xfId="2313" xr:uid="{00000000-0005-0000-0000-00000F040000}"/>
    <cellStyle name="40% - Accent1 2 8 2" xfId="6619" xr:uid="{00000000-0005-0000-0000-000010040000}"/>
    <cellStyle name="40% - Accent1 2 8 2 2" xfId="15945" xr:uid="{B6165D32-F37D-4BD6-9B69-B4DF9F4E34B6}"/>
    <cellStyle name="40% - Accent1 2 8 3" xfId="11728" xr:uid="{E5E2C6C8-F86C-4945-AF17-165117FE8AFA}"/>
    <cellStyle name="40% - Accent1 2 9" xfId="4553" xr:uid="{00000000-0005-0000-0000-000011040000}"/>
    <cellStyle name="40% - Accent1 2 9 2" xfId="13879" xr:uid="{759BFF47-7863-4698-B8F0-03EE075F151F}"/>
    <cellStyle name="40% - Accent1 3" xfId="54" xr:uid="{00000000-0005-0000-0000-000012040000}"/>
    <cellStyle name="40% - Accent1 3 10" xfId="9666" xr:uid="{53C7DEE3-2605-4F21-B783-CA7743358D17}"/>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BA166D9A-4717-4FE3-8D13-7F66AF5F2910}"/>
    <cellStyle name="40% - Accent1 3 2 2 2 3" xfId="12226" xr:uid="{23DDC33A-1C73-4283-8880-6D29DA14D452}"/>
    <cellStyle name="40% - Accent1 3 2 2 3" xfId="4972" xr:uid="{00000000-0005-0000-0000-000017040000}"/>
    <cellStyle name="40% - Accent1 3 2 2 3 2" xfId="14298" xr:uid="{7E879875-2165-4CDB-A467-4D529FC35AC0}"/>
    <cellStyle name="40% - Accent1 3 2 2 4" xfId="9494" xr:uid="{49092FA9-F337-44E8-98C8-15711B1C1558}"/>
    <cellStyle name="40% - Accent1 3 2 2 5" xfId="10081" xr:uid="{7092BA93-E80F-4F39-87E7-D384CDFBFCC9}"/>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A431D099-0F6D-4906-B6C7-D6D3774C18F6}"/>
    <cellStyle name="40% - Accent1 3 2 3 2 3" xfId="12639" xr:uid="{6DD36D4C-F26E-4D61-BB86-F463042E54C0}"/>
    <cellStyle name="40% - Accent1 3 2 3 3" xfId="5385" xr:uid="{00000000-0005-0000-0000-00001B040000}"/>
    <cellStyle name="40% - Accent1 3 2 3 3 2" xfId="14711" xr:uid="{003C6BA0-AEF5-415E-995E-1B50CD483FD6}"/>
    <cellStyle name="40% - Accent1 3 2 3 4" xfId="10494" xr:uid="{FFF92B47-5EDE-4C9C-B5F1-22C45B283834}"/>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6918C404-0C15-4451-B8A4-5144EEC1E7B9}"/>
    <cellStyle name="40% - Accent1 3 2 4 2 3" xfId="13052" xr:uid="{EBCB0BE6-6791-45AA-916D-0F47BDE10576}"/>
    <cellStyle name="40% - Accent1 3 2 4 3" xfId="5798" xr:uid="{00000000-0005-0000-0000-00001F040000}"/>
    <cellStyle name="40% - Accent1 3 2 4 3 2" xfId="15124" xr:uid="{98FB2C03-320F-4EE8-89D8-27EDCF70B7CF}"/>
    <cellStyle name="40% - Accent1 3 2 4 4" xfId="10907" xr:uid="{4FB4C1A2-2939-4E2C-AC7B-BE13699ABEE5}"/>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F819C1A9-3027-4E2F-8570-78B5A781870D}"/>
    <cellStyle name="40% - Accent1 3 2 5 2 3" xfId="13465" xr:uid="{415AB480-016F-4544-A348-7C139B1DC2E1}"/>
    <cellStyle name="40% - Accent1 3 2 5 3" xfId="6211" xr:uid="{00000000-0005-0000-0000-000023040000}"/>
    <cellStyle name="40% - Accent1 3 2 5 3 2" xfId="15537" xr:uid="{AB3B8808-7026-4B15-9BAB-669BE590DB95}"/>
    <cellStyle name="40% - Accent1 3 2 5 4" xfId="11320" xr:uid="{2A9A67C9-C82C-4AE8-92B6-FC7D84085EA1}"/>
    <cellStyle name="40% - Accent1 3 2 6" xfId="2318" xr:uid="{00000000-0005-0000-0000-000024040000}"/>
    <cellStyle name="40% - Accent1 3 2 6 2" xfId="6624" xr:uid="{00000000-0005-0000-0000-000025040000}"/>
    <cellStyle name="40% - Accent1 3 2 6 2 2" xfId="15950" xr:uid="{373F5C1B-53B6-4BED-855D-1E17A90B36D8}"/>
    <cellStyle name="40% - Accent1 3 2 6 3" xfId="11733" xr:uid="{F51594DC-2F5E-4946-92D1-2E8E0B4709E8}"/>
    <cellStyle name="40% - Accent1 3 2 7" xfId="4558" xr:uid="{00000000-0005-0000-0000-000026040000}"/>
    <cellStyle name="40% - Accent1 3 2 7 2" xfId="13884" xr:uid="{2D58D4C4-9486-45D3-ABF4-A3307BFB77F3}"/>
    <cellStyle name="40% - Accent1 3 2 8" xfId="9069" xr:uid="{F3D9FD63-8946-4492-B81A-42936E8B246D}"/>
    <cellStyle name="40% - Accent1 3 2 9" xfId="9667" xr:uid="{74785E67-F682-4407-9E73-26C28C76AB0E}"/>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EEA5364D-16BA-431F-BD6D-5EFFD8396981}"/>
    <cellStyle name="40% - Accent1 3 3 2 3" xfId="12225" xr:uid="{E0C04099-7ABA-4553-874D-BB6FB35922C2}"/>
    <cellStyle name="40% - Accent1 3 3 3" xfId="4971" xr:uid="{00000000-0005-0000-0000-00002A040000}"/>
    <cellStyle name="40% - Accent1 3 3 3 2" xfId="14297" xr:uid="{F3C9F121-CA1C-45CE-927A-5233449DCBD2}"/>
    <cellStyle name="40% - Accent1 3 3 4" xfId="9287" xr:uid="{8C21B573-3D31-49DA-ACD8-D3EC7CC3A858}"/>
    <cellStyle name="40% - Accent1 3 3 5" xfId="10080" xr:uid="{C3E8EA15-5EFB-49BC-BB1E-B641B2BB6831}"/>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A30346F6-A240-4B8F-8856-DCDF88BE23D0}"/>
    <cellStyle name="40% - Accent1 3 4 2 3" xfId="12638" xr:uid="{68329CAC-2699-41C1-94AF-744AC26CEFD8}"/>
    <cellStyle name="40% - Accent1 3 4 3" xfId="5384" xr:uid="{00000000-0005-0000-0000-00002E040000}"/>
    <cellStyle name="40% - Accent1 3 4 3 2" xfId="14710" xr:uid="{A54E7E9D-B5F1-495C-A31F-3D768A5D8F83}"/>
    <cellStyle name="40% - Accent1 3 4 4" xfId="10493" xr:uid="{BD08CB4C-2867-4D52-8E96-353DDDA8E7E7}"/>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9077353A-282F-412B-B196-3BCF77256D4A}"/>
    <cellStyle name="40% - Accent1 3 5 2 3" xfId="13051" xr:uid="{3FF1C728-86DD-430E-876A-706306E7A3D2}"/>
    <cellStyle name="40% - Accent1 3 5 3" xfId="5797" xr:uid="{00000000-0005-0000-0000-000032040000}"/>
    <cellStyle name="40% - Accent1 3 5 3 2" xfId="15123" xr:uid="{EAD8AD94-5A24-495C-A212-339028C77B2D}"/>
    <cellStyle name="40% - Accent1 3 5 4" xfId="10906" xr:uid="{B0B334B1-219B-4B43-B325-F9C08024182A}"/>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AD3B6068-230E-4263-8C25-42304C518DE1}"/>
    <cellStyle name="40% - Accent1 3 6 2 3" xfId="13464" xr:uid="{1BB1B446-3408-4DBE-9746-F77AB260DD74}"/>
    <cellStyle name="40% - Accent1 3 6 3" xfId="6210" xr:uid="{00000000-0005-0000-0000-000036040000}"/>
    <cellStyle name="40% - Accent1 3 6 3 2" xfId="15536" xr:uid="{416CB0AF-E42F-4A7E-B01D-F03071522349}"/>
    <cellStyle name="40% - Accent1 3 6 4" xfId="11319" xr:uid="{5813D5D6-9424-4D89-8AF4-19463F44015A}"/>
    <cellStyle name="40% - Accent1 3 7" xfId="2317" xr:uid="{00000000-0005-0000-0000-000037040000}"/>
    <cellStyle name="40% - Accent1 3 7 2" xfId="6623" xr:uid="{00000000-0005-0000-0000-000038040000}"/>
    <cellStyle name="40% - Accent1 3 7 2 2" xfId="15949" xr:uid="{11398F5C-DDA3-4CFF-8EA1-45B6B317391A}"/>
    <cellStyle name="40% - Accent1 3 7 3" xfId="11732" xr:uid="{F6D7CE2D-AEE3-42B9-9159-B99F76148E22}"/>
    <cellStyle name="40% - Accent1 3 8" xfId="4557" xr:uid="{00000000-0005-0000-0000-000039040000}"/>
    <cellStyle name="40% - Accent1 3 8 2" xfId="13883" xr:uid="{AA6E5802-747D-48F3-A7DB-7138C61B5AA5}"/>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426D6114-F71D-45CD-9C9D-5CBBE027DF95}"/>
    <cellStyle name="40% - Accent1 4 2 2 3" xfId="12227" xr:uid="{63F9A53A-D1AD-4543-A3A8-ABB0A8C53F9F}"/>
    <cellStyle name="40% - Accent1 4 2 3" xfId="4973" xr:uid="{00000000-0005-0000-0000-00003E040000}"/>
    <cellStyle name="40% - Accent1 4 2 3 2" xfId="14299" xr:uid="{D538DAEA-B2F9-47DB-A450-5893C43814B3}"/>
    <cellStyle name="40% - Accent1 4 2 4" xfId="9373" xr:uid="{3BC949C7-8F86-44EA-9F10-CF277586B131}"/>
    <cellStyle name="40% - Accent1 4 2 5" xfId="10082" xr:uid="{289FE191-B11C-484C-BD0A-E5B03DE96A31}"/>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47620273-EEF9-4F13-80AD-13191BE1582A}"/>
    <cellStyle name="40% - Accent1 4 3 2 3" xfId="12640" xr:uid="{0B160C51-DFF8-4CC7-9679-50F7CA333BA5}"/>
    <cellStyle name="40% - Accent1 4 3 3" xfId="5386" xr:uid="{00000000-0005-0000-0000-000042040000}"/>
    <cellStyle name="40% - Accent1 4 3 3 2" xfId="14712" xr:uid="{40580279-6D12-4FA9-A5F9-1289F9F9D83C}"/>
    <cellStyle name="40% - Accent1 4 3 4" xfId="10495" xr:uid="{4E36674F-5C8E-4552-ADD1-F080392994FC}"/>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2C01752C-A4D4-4D26-A0FC-EE9583558109}"/>
    <cellStyle name="40% - Accent1 4 4 2 3" xfId="13053" xr:uid="{AF536901-50FB-4497-98DF-601644A2DD47}"/>
    <cellStyle name="40% - Accent1 4 4 3" xfId="5799" xr:uid="{00000000-0005-0000-0000-000046040000}"/>
    <cellStyle name="40% - Accent1 4 4 3 2" xfId="15125" xr:uid="{239DC6C8-74D9-4070-9199-801009F17B07}"/>
    <cellStyle name="40% - Accent1 4 4 4" xfId="10908" xr:uid="{1384B616-8482-48D2-B4C5-E5CBB535BEDB}"/>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CA3CDADA-4B6D-46D1-B02D-5C3E543F6E26}"/>
    <cellStyle name="40% - Accent1 4 5 2 3" xfId="13466" xr:uid="{2038B46F-87BF-4C4F-9CB4-9FA6C84AE5D3}"/>
    <cellStyle name="40% - Accent1 4 5 3" xfId="6212" xr:uid="{00000000-0005-0000-0000-00004A040000}"/>
    <cellStyle name="40% - Accent1 4 5 3 2" xfId="15538" xr:uid="{2D6D2B21-3E14-4FFA-8CDA-A321133C1E81}"/>
    <cellStyle name="40% - Accent1 4 5 4" xfId="11321" xr:uid="{661FAD01-09BE-48E1-B9F7-797005495508}"/>
    <cellStyle name="40% - Accent1 4 6" xfId="2319" xr:uid="{00000000-0005-0000-0000-00004B040000}"/>
    <cellStyle name="40% - Accent1 4 6 2" xfId="6625" xr:uid="{00000000-0005-0000-0000-00004C040000}"/>
    <cellStyle name="40% - Accent1 4 6 2 2" xfId="15951" xr:uid="{34946738-AE01-405E-821C-CDFB2084BAD7}"/>
    <cellStyle name="40% - Accent1 4 6 3" xfId="11734" xr:uid="{18B68407-1248-4CEA-84AD-1CB7791482CC}"/>
    <cellStyle name="40% - Accent1 4 7" xfId="4559" xr:uid="{00000000-0005-0000-0000-00004D040000}"/>
    <cellStyle name="40% - Accent1 4 7 2" xfId="13885" xr:uid="{6CC4D878-45B0-4CD2-994A-34C177B906D5}"/>
    <cellStyle name="40% - Accent1 4 8" xfId="8948" xr:uid="{7BCBB449-71B8-4468-A700-0125C7659C3D}"/>
    <cellStyle name="40% - Accent1 4 9" xfId="9668" xr:uid="{9B7C846F-017B-4A58-90D1-6B6A51CF23BA}"/>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92886672-A666-4856-BFBC-ECC6A4F0BFB7}"/>
    <cellStyle name="40% - Accent1 5 2 3" xfId="12220" xr:uid="{50224662-AFE1-4C0A-BB08-4475261747CA}"/>
    <cellStyle name="40% - Accent1 5 3" xfId="4966" xr:uid="{00000000-0005-0000-0000-000051040000}"/>
    <cellStyle name="40% - Accent1 5 3 2" xfId="14292" xr:uid="{20198B67-1734-4DDE-A66C-1A9D958598A2}"/>
    <cellStyle name="40% - Accent1 5 4" xfId="9181" xr:uid="{332DA761-F1AA-4FF3-9BBB-9ECEE19D2DFF}"/>
    <cellStyle name="40% - Accent1 5 5" xfId="10075" xr:uid="{35C68817-5E07-491B-AE99-D85353382BDC}"/>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98270280-8FD8-4848-BCDE-E39113A07456}"/>
    <cellStyle name="40% - Accent1 6 2 3" xfId="12633" xr:uid="{DBFB8907-E36D-475C-9EE4-012093C6BAF6}"/>
    <cellStyle name="40% - Accent1 6 3" xfId="5379" xr:uid="{00000000-0005-0000-0000-000055040000}"/>
    <cellStyle name="40% - Accent1 6 3 2" xfId="14705" xr:uid="{2AAC6C84-4DB7-4BB9-ACC4-80643EE8B4B1}"/>
    <cellStyle name="40% - Accent1 6 4" xfId="10488" xr:uid="{A3B38424-68D4-4325-B0C2-5D987E3F03D2}"/>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CC788AB8-ABBF-4703-9FCE-375BFE5FE58D}"/>
    <cellStyle name="40% - Accent1 7 2 3" xfId="13046" xr:uid="{5384EFFB-CD80-486E-B051-FE419D18606E}"/>
    <cellStyle name="40% - Accent1 7 3" xfId="5792" xr:uid="{00000000-0005-0000-0000-000059040000}"/>
    <cellStyle name="40% - Accent1 7 3 2" xfId="15118" xr:uid="{A4869898-5A8B-432B-B47F-17741D90522A}"/>
    <cellStyle name="40% - Accent1 7 4" xfId="10901" xr:uid="{A6AC449F-78A6-46AE-8D67-71EACBE48C87}"/>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1899E902-12F6-4AA6-9EFD-5B16FFFA4C9D}"/>
    <cellStyle name="40% - Accent1 8 2 3" xfId="13459" xr:uid="{FBAB96A8-2EFC-4EFC-9569-8F5423B5A495}"/>
    <cellStyle name="40% - Accent1 8 3" xfId="6205" xr:uid="{00000000-0005-0000-0000-00005D040000}"/>
    <cellStyle name="40% - Accent1 8 3 2" xfId="15531" xr:uid="{EF852BBD-2394-4A90-BEF8-FB2446E7221F}"/>
    <cellStyle name="40% - Accent1 8 4" xfId="11314" xr:uid="{50E63E0E-286F-4AC9-8967-36033E1E244F}"/>
    <cellStyle name="40% - Accent1 9" xfId="2312" xr:uid="{00000000-0005-0000-0000-00005E040000}"/>
    <cellStyle name="40% - Accent1 9 2" xfId="6618" xr:uid="{00000000-0005-0000-0000-00005F040000}"/>
    <cellStyle name="40% - Accent1 9 2 2" xfId="15944" xr:uid="{380B5B5A-AAAD-46C7-96FD-F0684409BB60}"/>
    <cellStyle name="40% - Accent1 9 3" xfId="11727" xr:uid="{B1DDF5FE-6DD3-44E3-8F5A-A66F734AAE9F}"/>
    <cellStyle name="40% - Accent2" xfId="57" builtinId="35" customBuiltin="1"/>
    <cellStyle name="40% - Accent2 10" xfId="4560" xr:uid="{00000000-0005-0000-0000-000061040000}"/>
    <cellStyle name="40% - Accent2 10 2" xfId="13886" xr:uid="{88209419-520F-4684-B807-D7A4DB628860}"/>
    <cellStyle name="40% - Accent2 11" xfId="8761" xr:uid="{8631D9D1-53DA-4958-8F7C-AD68B7B91D61}"/>
    <cellStyle name="40% - Accent2 12" xfId="9669" xr:uid="{B2121E05-5F4C-4B19-860A-8A375EC62194}"/>
    <cellStyle name="40% - Accent2 2" xfId="58" xr:uid="{00000000-0005-0000-0000-000062040000}"/>
    <cellStyle name="40% - Accent2 2 10" xfId="8799" xr:uid="{E3EEC046-6E76-44A5-8D1B-64621A8F0AC5}"/>
    <cellStyle name="40% - Accent2 2 11" xfId="9670" xr:uid="{93FAC84A-8DF5-4A7C-8DDF-FC9A89B1D49A}"/>
    <cellStyle name="40% - Accent2 2 2" xfId="59" xr:uid="{00000000-0005-0000-0000-000063040000}"/>
    <cellStyle name="40% - Accent2 2 2 10" xfId="9671" xr:uid="{B10FF7A8-27C4-434D-B538-7F621B95C8DB}"/>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CCE21D2C-3678-4F6F-923D-C2B253923621}"/>
    <cellStyle name="40% - Accent2 2 2 2 2 2 3" xfId="12231" xr:uid="{01DD82CB-50B7-4C42-9D5B-535BF3E3C14A}"/>
    <cellStyle name="40% - Accent2 2 2 2 2 3" xfId="4977" xr:uid="{00000000-0005-0000-0000-000068040000}"/>
    <cellStyle name="40% - Accent2 2 2 2 2 3 2" xfId="14303" xr:uid="{506F70B9-3F64-4561-98F6-31CD08BC1307}"/>
    <cellStyle name="40% - Accent2 2 2 2 2 4" xfId="9534" xr:uid="{9F53A086-33FC-422E-9DFF-72D04AC43949}"/>
    <cellStyle name="40% - Accent2 2 2 2 2 5" xfId="10086" xr:uid="{D7A181E9-1105-425B-A2F7-1D4287850E1F}"/>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5CEFFA53-02ED-475A-B597-17C2BCA55D2E}"/>
    <cellStyle name="40% - Accent2 2 2 2 3 2 3" xfId="12644" xr:uid="{CD17CE0F-D859-4B5E-8181-810F87574ACF}"/>
    <cellStyle name="40% - Accent2 2 2 2 3 3" xfId="5390" xr:uid="{00000000-0005-0000-0000-00006C040000}"/>
    <cellStyle name="40% - Accent2 2 2 2 3 3 2" xfId="14716" xr:uid="{9D0FD53D-9149-4DDB-83F0-F7929623D35A}"/>
    <cellStyle name="40% - Accent2 2 2 2 3 4" xfId="10499" xr:uid="{ED4D1D40-E661-4DA7-AF00-1AE95DD67DC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11AF5134-E15A-40BA-8D7D-FE1B5CA4094A}"/>
    <cellStyle name="40% - Accent2 2 2 2 4 2 3" xfId="13057" xr:uid="{359BB1CB-2E56-4C98-A93F-0883A71552F5}"/>
    <cellStyle name="40% - Accent2 2 2 2 4 3" xfId="5803" xr:uid="{00000000-0005-0000-0000-000070040000}"/>
    <cellStyle name="40% - Accent2 2 2 2 4 3 2" xfId="15129" xr:uid="{F2D75BD2-1DA0-40BC-98BB-278CAC87D680}"/>
    <cellStyle name="40% - Accent2 2 2 2 4 4" xfId="10912" xr:uid="{97BBF91A-B8DB-4204-B13D-B808FF45EAFB}"/>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FB194730-CB5A-48D1-A867-4F4727A52A4E}"/>
    <cellStyle name="40% - Accent2 2 2 2 5 2 3" xfId="13470" xr:uid="{E4F1CE3E-45C7-4C29-956E-8CA695DE8B57}"/>
    <cellStyle name="40% - Accent2 2 2 2 5 3" xfId="6216" xr:uid="{00000000-0005-0000-0000-000074040000}"/>
    <cellStyle name="40% - Accent2 2 2 2 5 3 2" xfId="15542" xr:uid="{70C48E4F-CD26-4640-B782-2B4E34DBCF52}"/>
    <cellStyle name="40% - Accent2 2 2 2 5 4" xfId="11325" xr:uid="{0B01F02A-C0A6-4B60-A526-BC9337045B35}"/>
    <cellStyle name="40% - Accent2 2 2 2 6" xfId="2323" xr:uid="{00000000-0005-0000-0000-000075040000}"/>
    <cellStyle name="40% - Accent2 2 2 2 6 2" xfId="6629" xr:uid="{00000000-0005-0000-0000-000076040000}"/>
    <cellStyle name="40% - Accent2 2 2 2 6 2 2" xfId="15955" xr:uid="{16C5FDED-1F63-4D72-888D-1DF0026CEE1D}"/>
    <cellStyle name="40% - Accent2 2 2 2 6 3" xfId="11738" xr:uid="{ED5F5C92-8552-4891-8A2C-0129B2F6446B}"/>
    <cellStyle name="40% - Accent2 2 2 2 7" xfId="4563" xr:uid="{00000000-0005-0000-0000-000077040000}"/>
    <cellStyle name="40% - Accent2 2 2 2 7 2" xfId="13889" xr:uid="{A02E54E4-D8B8-477A-B9EB-99DB15B19440}"/>
    <cellStyle name="40% - Accent2 2 2 2 8" xfId="9109" xr:uid="{73F0012D-4386-4224-BFB0-7DB1C0E98822}"/>
    <cellStyle name="40% - Accent2 2 2 2 9" xfId="9672" xr:uid="{EC63BAE9-FEA1-4C07-9EE6-69EBFE0A3B56}"/>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5B26F9EE-3BD8-47E5-9EDE-4F90B2F63A2D}"/>
    <cellStyle name="40% - Accent2 2 2 3 2 3" xfId="12230" xr:uid="{0DDFF670-662F-4469-95AE-C0045402A6A9}"/>
    <cellStyle name="40% - Accent2 2 2 3 3" xfId="4976" xr:uid="{00000000-0005-0000-0000-00007B040000}"/>
    <cellStyle name="40% - Accent2 2 2 3 3 2" xfId="14302" xr:uid="{4090C0A5-4D28-4F59-8B09-D18C893553F2}"/>
    <cellStyle name="40% - Accent2 2 2 3 4" xfId="9327" xr:uid="{F2BC9A12-B689-4B73-B71E-77A9F0BC7FE4}"/>
    <cellStyle name="40% - Accent2 2 2 3 5" xfId="10085" xr:uid="{0015AE77-2048-48D5-A414-C8203A617157}"/>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D9FD275D-3045-41A4-810A-FF4B644CF2DE}"/>
    <cellStyle name="40% - Accent2 2 2 4 2 3" xfId="12643" xr:uid="{322F3C92-8DBA-4469-83C7-43B43190814B}"/>
    <cellStyle name="40% - Accent2 2 2 4 3" xfId="5389" xr:uid="{00000000-0005-0000-0000-00007F040000}"/>
    <cellStyle name="40% - Accent2 2 2 4 3 2" xfId="14715" xr:uid="{C0590F2B-BC32-45BE-8756-986CC38EA1BB}"/>
    <cellStyle name="40% - Accent2 2 2 4 4" xfId="10498" xr:uid="{110BCB86-E01C-47AF-9C6C-713D7AFBCCB4}"/>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5258D039-C626-4580-BD45-49A928D97B46}"/>
    <cellStyle name="40% - Accent2 2 2 5 2 3" xfId="13056" xr:uid="{8196DB28-976F-4A39-A6BE-243D34A81B98}"/>
    <cellStyle name="40% - Accent2 2 2 5 3" xfId="5802" xr:uid="{00000000-0005-0000-0000-000083040000}"/>
    <cellStyle name="40% - Accent2 2 2 5 3 2" xfId="15128" xr:uid="{52E60C96-2DBD-4B3E-B933-E00019F8E0AD}"/>
    <cellStyle name="40% - Accent2 2 2 5 4" xfId="10911" xr:uid="{072941E8-3445-460F-9D2A-2BD7FF2EA9A5}"/>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C0CC29B0-65CC-4B32-B91E-97F43B567914}"/>
    <cellStyle name="40% - Accent2 2 2 6 2 3" xfId="13469" xr:uid="{01BBB5AA-D8BF-4940-9F5F-C88B0D1AD984}"/>
    <cellStyle name="40% - Accent2 2 2 6 3" xfId="6215" xr:uid="{00000000-0005-0000-0000-000087040000}"/>
    <cellStyle name="40% - Accent2 2 2 6 3 2" xfId="15541" xr:uid="{36F22072-0C1B-4EDD-BE0C-93AD065661CD}"/>
    <cellStyle name="40% - Accent2 2 2 6 4" xfId="11324" xr:uid="{AE5350EF-9B64-4425-B501-FC2AB4699D88}"/>
    <cellStyle name="40% - Accent2 2 2 7" xfId="2322" xr:uid="{00000000-0005-0000-0000-000088040000}"/>
    <cellStyle name="40% - Accent2 2 2 7 2" xfId="6628" xr:uid="{00000000-0005-0000-0000-000089040000}"/>
    <cellStyle name="40% - Accent2 2 2 7 2 2" xfId="15954" xr:uid="{E24A4FBD-1E99-4A26-8E49-7BF11F60F520}"/>
    <cellStyle name="40% - Accent2 2 2 7 3" xfId="11737" xr:uid="{651181C1-DF16-492A-AF68-1B1A5C34ED0E}"/>
    <cellStyle name="40% - Accent2 2 2 8" xfId="4562" xr:uid="{00000000-0005-0000-0000-00008A040000}"/>
    <cellStyle name="40% - Accent2 2 2 8 2" xfId="13888" xr:uid="{E40CF5A8-B479-4FF7-A4B5-FFA70F1F8D9B}"/>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FF253338-BED4-455E-92C4-4D0675033A58}"/>
    <cellStyle name="40% - Accent2 2 3 2 2 3" xfId="12232" xr:uid="{302EE970-384E-4210-9146-98ECC33AA679}"/>
    <cellStyle name="40% - Accent2 2 3 2 3" xfId="4978" xr:uid="{00000000-0005-0000-0000-00008F040000}"/>
    <cellStyle name="40% - Accent2 2 3 2 3 2" xfId="14304" xr:uid="{B7FFC2E1-1812-4F97-B7FE-347BE8F424B6}"/>
    <cellStyle name="40% - Accent2 2 3 2 4" xfId="9431" xr:uid="{BD4E3561-302E-4359-AAF3-4F2E007BC697}"/>
    <cellStyle name="40% - Accent2 2 3 2 5" xfId="10087" xr:uid="{0D2AA7E1-7B13-4FE2-B561-F3C8DCAC5F8F}"/>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A0FFACB6-7647-427B-9804-5D6B27472948}"/>
    <cellStyle name="40% - Accent2 2 3 3 2 3" xfId="12645" xr:uid="{63FAF6DA-2508-403F-87D0-C98657C58EDF}"/>
    <cellStyle name="40% - Accent2 2 3 3 3" xfId="5391" xr:uid="{00000000-0005-0000-0000-000093040000}"/>
    <cellStyle name="40% - Accent2 2 3 3 3 2" xfId="14717" xr:uid="{D732A77D-DAED-4C4A-8BF0-6288AA4B63FB}"/>
    <cellStyle name="40% - Accent2 2 3 3 4" xfId="10500" xr:uid="{8D568450-56A3-4BDD-B960-A34E986FC955}"/>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BD1C179D-B608-4C4E-BCE2-87D3F088E172}"/>
    <cellStyle name="40% - Accent2 2 3 4 2 3" xfId="13058" xr:uid="{7874EBA0-8E80-43B7-9B25-54F7D39A1E82}"/>
    <cellStyle name="40% - Accent2 2 3 4 3" xfId="5804" xr:uid="{00000000-0005-0000-0000-000097040000}"/>
    <cellStyle name="40% - Accent2 2 3 4 3 2" xfId="15130" xr:uid="{255191C0-944E-4EBF-87DF-83AB9E5339A3}"/>
    <cellStyle name="40% - Accent2 2 3 4 4" xfId="10913" xr:uid="{C1F3C8E7-61EB-4825-BD6F-31996F8938ED}"/>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A05719B2-33AC-4769-847C-70DE3F38DA27}"/>
    <cellStyle name="40% - Accent2 2 3 5 2 3" xfId="13471" xr:uid="{D2F77C3C-4A11-43D7-9DF5-F3711BA32AEE}"/>
    <cellStyle name="40% - Accent2 2 3 5 3" xfId="6217" xr:uid="{00000000-0005-0000-0000-00009B040000}"/>
    <cellStyle name="40% - Accent2 2 3 5 3 2" xfId="15543" xr:uid="{48539AAE-1D6B-4468-B443-1D91A931F40F}"/>
    <cellStyle name="40% - Accent2 2 3 5 4" xfId="11326" xr:uid="{7667D4EA-F8AD-4349-9B4E-FB8C26C6A3A4}"/>
    <cellStyle name="40% - Accent2 2 3 6" xfId="2324" xr:uid="{00000000-0005-0000-0000-00009C040000}"/>
    <cellStyle name="40% - Accent2 2 3 6 2" xfId="6630" xr:uid="{00000000-0005-0000-0000-00009D040000}"/>
    <cellStyle name="40% - Accent2 2 3 6 2 2" xfId="15956" xr:uid="{F1561A91-3BD2-48FE-9391-9AC6EDA81CCD}"/>
    <cellStyle name="40% - Accent2 2 3 6 3" xfId="11739" xr:uid="{D98EC157-80D7-4CE7-9AD3-278D71622F16}"/>
    <cellStyle name="40% - Accent2 2 3 7" xfId="4564" xr:uid="{00000000-0005-0000-0000-00009E040000}"/>
    <cellStyle name="40% - Accent2 2 3 7 2" xfId="13890" xr:uid="{FDB59009-04C5-48BC-934F-9A4B1E3FFDA3}"/>
    <cellStyle name="40% - Accent2 2 3 8" xfId="9006" xr:uid="{E6E89EA5-B76F-4FCC-89B9-DD4135B6364B}"/>
    <cellStyle name="40% - Accent2 2 3 9" xfId="9673" xr:uid="{1DD5CF9C-F547-435D-84CE-32EAEC9C8155}"/>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A93C6C66-C176-4118-B9B9-4A1704182B66}"/>
    <cellStyle name="40% - Accent2 2 4 2 3" xfId="12229" xr:uid="{104037B6-099C-4B44-9999-825A840AC613}"/>
    <cellStyle name="40% - Accent2 2 4 3" xfId="4975" xr:uid="{00000000-0005-0000-0000-0000A2040000}"/>
    <cellStyle name="40% - Accent2 2 4 3 2" xfId="14301" xr:uid="{996C6BBA-CF11-420E-A91C-2C66064941CA}"/>
    <cellStyle name="40% - Accent2 2 4 4" xfId="9223" xr:uid="{FA9890B4-781A-4E4C-81EE-BC7448559828}"/>
    <cellStyle name="40% - Accent2 2 4 5" xfId="10084" xr:uid="{D51895AA-F442-412E-97C2-294A19554C65}"/>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B40D100C-6DFF-47DC-BDA7-096B67F8073C}"/>
    <cellStyle name="40% - Accent2 2 5 2 3" xfId="12642" xr:uid="{DD2F334C-3934-462B-A0AE-F13FECA5BDA0}"/>
    <cellStyle name="40% - Accent2 2 5 3" xfId="5388" xr:uid="{00000000-0005-0000-0000-0000A6040000}"/>
    <cellStyle name="40% - Accent2 2 5 3 2" xfId="14714" xr:uid="{AA818ABE-A69D-48C6-9612-75A9FF37B320}"/>
    <cellStyle name="40% - Accent2 2 5 4" xfId="10497" xr:uid="{B086FA3A-9AEC-4271-9C3B-64649FC98543}"/>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6CF16D5E-1ABB-4A25-B00D-8C04410D012A}"/>
    <cellStyle name="40% - Accent2 2 6 2 3" xfId="13055" xr:uid="{46C3CB46-D321-4308-ADF4-6B15425FDD05}"/>
    <cellStyle name="40% - Accent2 2 6 3" xfId="5801" xr:uid="{00000000-0005-0000-0000-0000AA040000}"/>
    <cellStyle name="40% - Accent2 2 6 3 2" xfId="15127" xr:uid="{7BF5D30A-7E62-441A-AA1D-A37F5F3AB841}"/>
    <cellStyle name="40% - Accent2 2 6 4" xfId="10910" xr:uid="{71F6258C-35CF-4267-8446-7EBB5FBA194C}"/>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4CDEFE5D-B8AB-42EF-9644-C2D55BF92EF5}"/>
    <cellStyle name="40% - Accent2 2 7 2 3" xfId="13468" xr:uid="{668511F0-8C6C-4CCC-BD62-A20F23A8487C}"/>
    <cellStyle name="40% - Accent2 2 7 3" xfId="6214" xr:uid="{00000000-0005-0000-0000-0000AE040000}"/>
    <cellStyle name="40% - Accent2 2 7 3 2" xfId="15540" xr:uid="{6AFD6C62-28AA-44DA-ADA0-8876BB7741A3}"/>
    <cellStyle name="40% - Accent2 2 7 4" xfId="11323" xr:uid="{F07D8EBC-1BFD-4C8D-8CD5-37FDCF82DAF3}"/>
    <cellStyle name="40% - Accent2 2 8" xfId="2321" xr:uid="{00000000-0005-0000-0000-0000AF040000}"/>
    <cellStyle name="40% - Accent2 2 8 2" xfId="6627" xr:uid="{00000000-0005-0000-0000-0000B0040000}"/>
    <cellStyle name="40% - Accent2 2 8 2 2" xfId="15953" xr:uid="{3E5E7584-9062-4383-ADB9-422F87524D7D}"/>
    <cellStyle name="40% - Accent2 2 8 3" xfId="11736" xr:uid="{BF179A44-29C2-4A6A-8608-FB752C29CEC5}"/>
    <cellStyle name="40% - Accent2 2 9" xfId="4561" xr:uid="{00000000-0005-0000-0000-0000B1040000}"/>
    <cellStyle name="40% - Accent2 2 9 2" xfId="13887" xr:uid="{1D1FAE7E-93C4-4FC8-AF12-6724435B2018}"/>
    <cellStyle name="40% - Accent2 3" xfId="62" xr:uid="{00000000-0005-0000-0000-0000B2040000}"/>
    <cellStyle name="40% - Accent2 3 10" xfId="9674" xr:uid="{CBE9FCA3-C015-46E1-B735-E4079AC0994E}"/>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4BA6A0A3-E12A-4304-B0F9-CDC4ABF01DEE}"/>
    <cellStyle name="40% - Accent2 3 2 2 2 3" xfId="12234" xr:uid="{8538B774-91A8-41F8-88DB-85BBCE8B9CB0}"/>
    <cellStyle name="40% - Accent2 3 2 2 3" xfId="4980" xr:uid="{00000000-0005-0000-0000-0000B7040000}"/>
    <cellStyle name="40% - Accent2 3 2 2 3 2" xfId="14306" xr:uid="{D1B52F34-0C19-4AE3-BDF2-BC9E27F38B17}"/>
    <cellStyle name="40% - Accent2 3 2 2 4" xfId="9496" xr:uid="{700FA1AF-D943-4FDB-BFB1-F903AD1F731A}"/>
    <cellStyle name="40% - Accent2 3 2 2 5" xfId="10089" xr:uid="{603E5A54-A52C-44DB-A722-16F0D63C61AE}"/>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F289652E-322D-45CE-8C14-6F8B5BF6753E}"/>
    <cellStyle name="40% - Accent2 3 2 3 2 3" xfId="12647" xr:uid="{C558343F-D9D9-4886-84D6-8F26A94D7E79}"/>
    <cellStyle name="40% - Accent2 3 2 3 3" xfId="5393" xr:uid="{00000000-0005-0000-0000-0000BB040000}"/>
    <cellStyle name="40% - Accent2 3 2 3 3 2" xfId="14719" xr:uid="{0B4C9857-650D-406F-839C-2A66BC3518DD}"/>
    <cellStyle name="40% - Accent2 3 2 3 4" xfId="10502" xr:uid="{41EF38E6-E330-4FFF-83FE-C4B3EC696E54}"/>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2088E5A6-3921-4931-83D0-F02EDAD9821B}"/>
    <cellStyle name="40% - Accent2 3 2 4 2 3" xfId="13060" xr:uid="{CBEB8BEB-B74E-4484-81FE-4649699C23E5}"/>
    <cellStyle name="40% - Accent2 3 2 4 3" xfId="5806" xr:uid="{00000000-0005-0000-0000-0000BF040000}"/>
    <cellStyle name="40% - Accent2 3 2 4 3 2" xfId="15132" xr:uid="{6D413154-4DDF-4C67-ABA5-4B02788109C4}"/>
    <cellStyle name="40% - Accent2 3 2 4 4" xfId="10915" xr:uid="{BB8083C3-4F2E-481E-AF2C-87383B05E0C0}"/>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49066E00-A6E7-4496-8CFB-9CB66292FBB4}"/>
    <cellStyle name="40% - Accent2 3 2 5 2 3" xfId="13473" xr:uid="{DEE2A2F4-C432-4E52-B27A-FE2BF68A5EFF}"/>
    <cellStyle name="40% - Accent2 3 2 5 3" xfId="6219" xr:uid="{00000000-0005-0000-0000-0000C3040000}"/>
    <cellStyle name="40% - Accent2 3 2 5 3 2" xfId="15545" xr:uid="{88F13CF2-B90F-4640-9222-E51EDB0BE2B5}"/>
    <cellStyle name="40% - Accent2 3 2 5 4" xfId="11328" xr:uid="{5A157E72-4660-4827-BB14-BC6BA2CD45B9}"/>
    <cellStyle name="40% - Accent2 3 2 6" xfId="2326" xr:uid="{00000000-0005-0000-0000-0000C4040000}"/>
    <cellStyle name="40% - Accent2 3 2 6 2" xfId="6632" xr:uid="{00000000-0005-0000-0000-0000C5040000}"/>
    <cellStyle name="40% - Accent2 3 2 6 2 2" xfId="15958" xr:uid="{9E71F197-A574-4D8F-96B3-373D7B9A4A77}"/>
    <cellStyle name="40% - Accent2 3 2 6 3" xfId="11741" xr:uid="{384F5A2D-AF5B-4942-95FA-4E6DDA1B6A0F}"/>
    <cellStyle name="40% - Accent2 3 2 7" xfId="4566" xr:uid="{00000000-0005-0000-0000-0000C6040000}"/>
    <cellStyle name="40% - Accent2 3 2 7 2" xfId="13892" xr:uid="{906977AA-A00A-4F7C-8F56-1BEE34FAA6AD}"/>
    <cellStyle name="40% - Accent2 3 2 8" xfId="9071" xr:uid="{B5463F05-11FC-4377-B380-DDB549C63AA9}"/>
    <cellStyle name="40% - Accent2 3 2 9" xfId="9675" xr:uid="{BF1388EB-0086-4434-B406-7B1B1C679CB9}"/>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7706BA79-8F47-4E91-91CE-FB2C87F34B55}"/>
    <cellStyle name="40% - Accent2 3 3 2 3" xfId="12233" xr:uid="{297EE4EA-9FEF-4FF8-BF63-0B6D257A88C1}"/>
    <cellStyle name="40% - Accent2 3 3 3" xfId="4979" xr:uid="{00000000-0005-0000-0000-0000CA040000}"/>
    <cellStyle name="40% - Accent2 3 3 3 2" xfId="14305" xr:uid="{2DADABA4-52D9-422D-8D0D-3E70E20E376F}"/>
    <cellStyle name="40% - Accent2 3 3 4" xfId="9289" xr:uid="{B234EB9F-4AFE-41A2-A17D-ABC1D0F80875}"/>
    <cellStyle name="40% - Accent2 3 3 5" xfId="10088" xr:uid="{B5B60DCB-3980-4130-9ECA-CA8C4A6FC1C4}"/>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E4AE3806-49E5-4783-B0A5-AB86A438489C}"/>
    <cellStyle name="40% - Accent2 3 4 2 3" xfId="12646" xr:uid="{02CCBE4C-B0E0-4208-93C2-35DA12887F63}"/>
    <cellStyle name="40% - Accent2 3 4 3" xfId="5392" xr:uid="{00000000-0005-0000-0000-0000CE040000}"/>
    <cellStyle name="40% - Accent2 3 4 3 2" xfId="14718" xr:uid="{E079DA94-BDFE-4DDA-A38F-91A0A6FC7DE7}"/>
    <cellStyle name="40% - Accent2 3 4 4" xfId="10501" xr:uid="{EEB8B976-25B4-4A99-9346-6E713F735266}"/>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54D495EA-DAA0-4657-8602-5A0794608CF1}"/>
    <cellStyle name="40% - Accent2 3 5 2 3" xfId="13059" xr:uid="{A47673C7-C244-4790-B0C4-C56D76D7DD6A}"/>
    <cellStyle name="40% - Accent2 3 5 3" xfId="5805" xr:uid="{00000000-0005-0000-0000-0000D2040000}"/>
    <cellStyle name="40% - Accent2 3 5 3 2" xfId="15131" xr:uid="{740E7B3A-A2B3-46D3-8FDB-3A71A5AB5A24}"/>
    <cellStyle name="40% - Accent2 3 5 4" xfId="10914" xr:uid="{7CB8ACD7-A4AA-411B-A32E-9E7F9F66F5D6}"/>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4CA5138C-62B7-4005-8C3E-2E86C70BB885}"/>
    <cellStyle name="40% - Accent2 3 6 2 3" xfId="13472" xr:uid="{9B365D01-E5DA-4B98-BB67-604FE34FCD27}"/>
    <cellStyle name="40% - Accent2 3 6 3" xfId="6218" xr:uid="{00000000-0005-0000-0000-0000D6040000}"/>
    <cellStyle name="40% - Accent2 3 6 3 2" xfId="15544" xr:uid="{C49EFED6-D6A2-4203-A340-D522D421A49A}"/>
    <cellStyle name="40% - Accent2 3 6 4" xfId="11327" xr:uid="{F2CA84E6-80A0-473E-857E-82F28B585E68}"/>
    <cellStyle name="40% - Accent2 3 7" xfId="2325" xr:uid="{00000000-0005-0000-0000-0000D7040000}"/>
    <cellStyle name="40% - Accent2 3 7 2" xfId="6631" xr:uid="{00000000-0005-0000-0000-0000D8040000}"/>
    <cellStyle name="40% - Accent2 3 7 2 2" xfId="15957" xr:uid="{79A80FEB-50C0-4ACF-A40C-31EC17ABCC3A}"/>
    <cellStyle name="40% - Accent2 3 7 3" xfId="11740" xr:uid="{74162B20-79B1-4841-A0FC-354E8B51B4DF}"/>
    <cellStyle name="40% - Accent2 3 8" xfId="4565" xr:uid="{00000000-0005-0000-0000-0000D9040000}"/>
    <cellStyle name="40% - Accent2 3 8 2" xfId="13891" xr:uid="{ECB9B335-4AE1-4B50-8726-22E4ACF95917}"/>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DD46E5F6-50DF-410A-85B1-D2608EFE2200}"/>
    <cellStyle name="40% - Accent2 4 2 2 3" xfId="12235" xr:uid="{6EB4490C-15FA-4FF8-996F-E8815E0706F3}"/>
    <cellStyle name="40% - Accent2 4 2 3" xfId="4981" xr:uid="{00000000-0005-0000-0000-0000DE040000}"/>
    <cellStyle name="40% - Accent2 4 2 3 2" xfId="14307" xr:uid="{EB38972E-5A45-4186-A00F-10F8A6C9E6C0}"/>
    <cellStyle name="40% - Accent2 4 2 4" xfId="9375" xr:uid="{E0F8B4F7-419E-40A5-89E1-F3F0DF6ADFF8}"/>
    <cellStyle name="40% - Accent2 4 2 5" xfId="10090" xr:uid="{7926A2B3-5A43-42D9-805E-DD832332A7C5}"/>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ABC666D8-7E30-4E99-9E83-370D699B2A4F}"/>
    <cellStyle name="40% - Accent2 4 3 2 3" xfId="12648" xr:uid="{BA73401A-F62E-484A-8519-D26C623EA5CF}"/>
    <cellStyle name="40% - Accent2 4 3 3" xfId="5394" xr:uid="{00000000-0005-0000-0000-0000E2040000}"/>
    <cellStyle name="40% - Accent2 4 3 3 2" xfId="14720" xr:uid="{97DB4B18-44A1-4863-9715-A5921680ABC9}"/>
    <cellStyle name="40% - Accent2 4 3 4" xfId="10503" xr:uid="{80DD1F46-CCFC-4FFF-876C-E436A8231804}"/>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5D77921A-8852-427D-B637-0C3B58C54973}"/>
    <cellStyle name="40% - Accent2 4 4 2 3" xfId="13061" xr:uid="{9B2C2DDF-9BA6-488F-A3A4-0799C6C3036F}"/>
    <cellStyle name="40% - Accent2 4 4 3" xfId="5807" xr:uid="{00000000-0005-0000-0000-0000E6040000}"/>
    <cellStyle name="40% - Accent2 4 4 3 2" xfId="15133" xr:uid="{FF0FEDAA-249B-401A-B3DE-DF827EF9BB12}"/>
    <cellStyle name="40% - Accent2 4 4 4" xfId="10916" xr:uid="{0C778A37-E13E-4AE3-A80C-C8B8B13FEF87}"/>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AEA8CA7E-A57C-488D-9D9B-2B0C454803B3}"/>
    <cellStyle name="40% - Accent2 4 5 2 3" xfId="13474" xr:uid="{BD5CE538-BDC4-4C1E-A234-AD207CDF3D9F}"/>
    <cellStyle name="40% - Accent2 4 5 3" xfId="6220" xr:uid="{00000000-0005-0000-0000-0000EA040000}"/>
    <cellStyle name="40% - Accent2 4 5 3 2" xfId="15546" xr:uid="{090DC659-4ADD-4BDC-AE76-7E0FE8EBF348}"/>
    <cellStyle name="40% - Accent2 4 5 4" xfId="11329" xr:uid="{1E03C41E-D6BD-4FBF-AF98-03C457805545}"/>
    <cellStyle name="40% - Accent2 4 6" xfId="2327" xr:uid="{00000000-0005-0000-0000-0000EB040000}"/>
    <cellStyle name="40% - Accent2 4 6 2" xfId="6633" xr:uid="{00000000-0005-0000-0000-0000EC040000}"/>
    <cellStyle name="40% - Accent2 4 6 2 2" xfId="15959" xr:uid="{8963D56A-30CD-460B-B2EE-DF0E5D465FBF}"/>
    <cellStyle name="40% - Accent2 4 6 3" xfId="11742" xr:uid="{41E38111-1C18-4326-B23B-F87B333F2F88}"/>
    <cellStyle name="40% - Accent2 4 7" xfId="4567" xr:uid="{00000000-0005-0000-0000-0000ED040000}"/>
    <cellStyle name="40% - Accent2 4 7 2" xfId="13893" xr:uid="{12D6E253-6783-4BDB-B8EB-C71EF5155F64}"/>
    <cellStyle name="40% - Accent2 4 8" xfId="8950" xr:uid="{02FCA414-0598-4779-8636-7B176A3552C0}"/>
    <cellStyle name="40% - Accent2 4 9" xfId="9676" xr:uid="{F66C7021-0F31-416B-A378-09B343BEC57B}"/>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183423E1-00A3-4594-AC05-37ED0DEC429D}"/>
    <cellStyle name="40% - Accent2 5 2 3" xfId="12228" xr:uid="{63BE1B79-1D85-4D04-AE0A-9F1DAFE5F6DD}"/>
    <cellStyle name="40% - Accent2 5 3" xfId="4974" xr:uid="{00000000-0005-0000-0000-0000F1040000}"/>
    <cellStyle name="40% - Accent2 5 3 2" xfId="14300" xr:uid="{E1DC0DCE-E827-41D0-836E-A1BAC7CCB37E}"/>
    <cellStyle name="40% - Accent2 5 4" xfId="9183" xr:uid="{071EDB8E-9FD1-4063-BCEF-70B734E5ECF1}"/>
    <cellStyle name="40% - Accent2 5 5" xfId="10083" xr:uid="{B831D7D6-2776-4974-968C-71E500418D30}"/>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695B7D7E-FE0D-4E9A-B78D-AA1664F7515F}"/>
    <cellStyle name="40% - Accent2 6 2 3" xfId="12641" xr:uid="{A31C2F1F-191A-47E3-ABF9-7924AD429222}"/>
    <cellStyle name="40% - Accent2 6 3" xfId="5387" xr:uid="{00000000-0005-0000-0000-0000F5040000}"/>
    <cellStyle name="40% - Accent2 6 3 2" xfId="14713" xr:uid="{C0C329E4-A639-4110-AE23-7A1255F18DB7}"/>
    <cellStyle name="40% - Accent2 6 4" xfId="10496" xr:uid="{8CF3BA47-2A24-4253-8677-C9B902BDC7C1}"/>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0B794F5D-C45F-4E1F-AF7C-13C6B9FAFD79}"/>
    <cellStyle name="40% - Accent2 7 2 3" xfId="13054" xr:uid="{0A040FA4-B007-4410-AB40-BC6524E7FD9F}"/>
    <cellStyle name="40% - Accent2 7 3" xfId="5800" xr:uid="{00000000-0005-0000-0000-0000F9040000}"/>
    <cellStyle name="40% - Accent2 7 3 2" xfId="15126" xr:uid="{8742A821-70CC-43B5-9D6A-2CD14D5C9ECE}"/>
    <cellStyle name="40% - Accent2 7 4" xfId="10909" xr:uid="{E76EF7C1-5131-41E3-BBB6-33EC749BB542}"/>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F1316D51-5931-4992-AE85-13779E388981}"/>
    <cellStyle name="40% - Accent2 8 2 3" xfId="13467" xr:uid="{D012363C-518E-42C9-B3EF-A2611F499414}"/>
    <cellStyle name="40% - Accent2 8 3" xfId="6213" xr:uid="{00000000-0005-0000-0000-0000FD040000}"/>
    <cellStyle name="40% - Accent2 8 3 2" xfId="15539" xr:uid="{CABEDBF0-B5D9-4683-BE5D-5233FECAAD99}"/>
    <cellStyle name="40% - Accent2 8 4" xfId="11322" xr:uid="{92A62880-8FDA-4E00-AEC6-4AAC5DFF6344}"/>
    <cellStyle name="40% - Accent2 9" xfId="2320" xr:uid="{00000000-0005-0000-0000-0000FE040000}"/>
    <cellStyle name="40% - Accent2 9 2" xfId="6626" xr:uid="{00000000-0005-0000-0000-0000FF040000}"/>
    <cellStyle name="40% - Accent2 9 2 2" xfId="15952" xr:uid="{F87F2676-3520-4F31-BDF1-3915B14ACA70}"/>
    <cellStyle name="40% - Accent2 9 3" xfId="11735" xr:uid="{26769C0A-1149-4E48-BA30-E9B0E1ADFED5}"/>
    <cellStyle name="40% - Accent3" xfId="65" builtinId="39" customBuiltin="1"/>
    <cellStyle name="40% - Accent3 10" xfId="4568" xr:uid="{00000000-0005-0000-0000-000001050000}"/>
    <cellStyle name="40% - Accent3 10 2" xfId="13894" xr:uid="{5F8589CE-5E76-46EC-91DF-A7F9EB554BCD}"/>
    <cellStyle name="40% - Accent3 11" xfId="8763" xr:uid="{CEFBFA85-5B68-4AEB-BF0D-8E604938B05F}"/>
    <cellStyle name="40% - Accent3 12" xfId="9677" xr:uid="{1AA90107-1529-4F28-BDDD-663E7D7020FE}"/>
    <cellStyle name="40% - Accent3 2" xfId="66" xr:uid="{00000000-0005-0000-0000-000002050000}"/>
    <cellStyle name="40% - Accent3 2 10" xfId="8800" xr:uid="{00FF2AAD-7D96-45B5-8981-0BB923A3505B}"/>
    <cellStyle name="40% - Accent3 2 11" xfId="9678" xr:uid="{B4041F60-F4A3-4A9C-A0A9-5033E9778562}"/>
    <cellStyle name="40% - Accent3 2 2" xfId="67" xr:uid="{00000000-0005-0000-0000-000003050000}"/>
    <cellStyle name="40% - Accent3 2 2 10" xfId="9679" xr:uid="{4FB4AEC5-57EE-4110-B9BD-3E2CDE803CA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2E740A08-6C71-40CA-80E0-66D80E59C8D9}"/>
    <cellStyle name="40% - Accent3 2 2 2 2 2 3" xfId="12239" xr:uid="{CDE13D38-2D7A-4CD8-9D6E-17B9968A88BD}"/>
    <cellStyle name="40% - Accent3 2 2 2 2 3" xfId="4985" xr:uid="{00000000-0005-0000-0000-000008050000}"/>
    <cellStyle name="40% - Accent3 2 2 2 2 3 2" xfId="14311" xr:uid="{A5CB9D6A-B793-4167-B917-821508186041}"/>
    <cellStyle name="40% - Accent3 2 2 2 2 4" xfId="9535" xr:uid="{3AC66435-D4C7-42EF-A799-3DC81A57BDF4}"/>
    <cellStyle name="40% - Accent3 2 2 2 2 5" xfId="10094" xr:uid="{37280541-1DBF-467A-B2BE-AFC27AE3C9FC}"/>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D5CFA4D2-1D3F-4D05-AA27-17075314EF8C}"/>
    <cellStyle name="40% - Accent3 2 2 2 3 2 3" xfId="12652" xr:uid="{1B7C9ABB-A5E6-4792-9F49-EA8708FB39FB}"/>
    <cellStyle name="40% - Accent3 2 2 2 3 3" xfId="5398" xr:uid="{00000000-0005-0000-0000-00000C050000}"/>
    <cellStyle name="40% - Accent3 2 2 2 3 3 2" xfId="14724" xr:uid="{EA411E46-7C10-45E6-8482-372D5F1AE8CC}"/>
    <cellStyle name="40% - Accent3 2 2 2 3 4" xfId="10507" xr:uid="{04FC9082-A0D6-4ABB-940E-6BA094319C6B}"/>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B5E2E0F0-4A03-4FB3-BE8D-52C676BA392E}"/>
    <cellStyle name="40% - Accent3 2 2 2 4 2 3" xfId="13065" xr:uid="{506A37D5-33C4-437A-AF8F-6AE89EACE8B6}"/>
    <cellStyle name="40% - Accent3 2 2 2 4 3" xfId="5811" xr:uid="{00000000-0005-0000-0000-000010050000}"/>
    <cellStyle name="40% - Accent3 2 2 2 4 3 2" xfId="15137" xr:uid="{848E87D9-85F3-4F56-A37E-A391813C80E9}"/>
    <cellStyle name="40% - Accent3 2 2 2 4 4" xfId="10920" xr:uid="{7773F75B-CD61-4C05-94E9-55A269BBAAD1}"/>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AD0C145A-5909-4173-BB07-1E9771AB866B}"/>
    <cellStyle name="40% - Accent3 2 2 2 5 2 3" xfId="13478" xr:uid="{DDB40EB5-0CF9-47CD-853B-46D38B03A7A0}"/>
    <cellStyle name="40% - Accent3 2 2 2 5 3" xfId="6224" xr:uid="{00000000-0005-0000-0000-000014050000}"/>
    <cellStyle name="40% - Accent3 2 2 2 5 3 2" xfId="15550" xr:uid="{6D5B7ED1-A7F9-43FA-BA37-BF465F9DF8E8}"/>
    <cellStyle name="40% - Accent3 2 2 2 5 4" xfId="11333" xr:uid="{360CFEBA-14F1-4CF1-B01B-A3889CFC8E07}"/>
    <cellStyle name="40% - Accent3 2 2 2 6" xfId="2331" xr:uid="{00000000-0005-0000-0000-000015050000}"/>
    <cellStyle name="40% - Accent3 2 2 2 6 2" xfId="6637" xr:uid="{00000000-0005-0000-0000-000016050000}"/>
    <cellStyle name="40% - Accent3 2 2 2 6 2 2" xfId="15963" xr:uid="{6BF20A55-37F7-466F-A548-A055B1818402}"/>
    <cellStyle name="40% - Accent3 2 2 2 6 3" xfId="11746" xr:uid="{42A83732-0517-4FDD-B700-5542053B2FD5}"/>
    <cellStyle name="40% - Accent3 2 2 2 7" xfId="4571" xr:uid="{00000000-0005-0000-0000-000017050000}"/>
    <cellStyle name="40% - Accent3 2 2 2 7 2" xfId="13897" xr:uid="{9E503D0E-6D67-4149-99AC-437DAFBB61CE}"/>
    <cellStyle name="40% - Accent3 2 2 2 8" xfId="9110" xr:uid="{E41CBEF9-86F8-44B9-895F-532A7BDC9A2A}"/>
    <cellStyle name="40% - Accent3 2 2 2 9" xfId="9680" xr:uid="{55E927AD-6960-4266-84E1-A2C64B0E8DBD}"/>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8730614D-0DA5-4F45-9810-E1AB8331F40B}"/>
    <cellStyle name="40% - Accent3 2 2 3 2 3" xfId="12238" xr:uid="{5F9A5B92-F895-465D-946E-F58EEF14A736}"/>
    <cellStyle name="40% - Accent3 2 2 3 3" xfId="4984" xr:uid="{00000000-0005-0000-0000-00001B050000}"/>
    <cellStyle name="40% - Accent3 2 2 3 3 2" xfId="14310" xr:uid="{5E676C85-4C7C-4702-9E3D-EE06235C1DBB}"/>
    <cellStyle name="40% - Accent3 2 2 3 4" xfId="9328" xr:uid="{1DAEB9B9-01CE-426D-A8F1-CE08999D7264}"/>
    <cellStyle name="40% - Accent3 2 2 3 5" xfId="10093" xr:uid="{1DA54F60-D66D-4B56-84AB-787CE8DEFFD2}"/>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02BEC1A8-D3B0-4C77-89D8-BEF7D56253C5}"/>
    <cellStyle name="40% - Accent3 2 2 4 2 3" xfId="12651" xr:uid="{55C521DD-9CBC-419F-A661-FFA9F1DCF4FC}"/>
    <cellStyle name="40% - Accent3 2 2 4 3" xfId="5397" xr:uid="{00000000-0005-0000-0000-00001F050000}"/>
    <cellStyle name="40% - Accent3 2 2 4 3 2" xfId="14723" xr:uid="{C711A4C8-66EA-4037-80F4-8FB0C551A3A3}"/>
    <cellStyle name="40% - Accent3 2 2 4 4" xfId="10506" xr:uid="{3B88BD35-9273-4144-A25E-722CC1ED4AAA}"/>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11F9C7D9-0922-47F5-9BE2-ADBBD38E9D6D}"/>
    <cellStyle name="40% - Accent3 2 2 5 2 3" xfId="13064" xr:uid="{83E312BB-DA1C-49EA-AAC5-D5267A95E1A9}"/>
    <cellStyle name="40% - Accent3 2 2 5 3" xfId="5810" xr:uid="{00000000-0005-0000-0000-000023050000}"/>
    <cellStyle name="40% - Accent3 2 2 5 3 2" xfId="15136" xr:uid="{B99C02BF-40D8-4D0D-A2DE-FCA651393045}"/>
    <cellStyle name="40% - Accent3 2 2 5 4" xfId="10919" xr:uid="{F4D273F0-63A6-4F8A-8149-BF21065CAB9D}"/>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1F2442ED-84AD-4539-BD10-BEB73FD18CE9}"/>
    <cellStyle name="40% - Accent3 2 2 6 2 3" xfId="13477" xr:uid="{DE933936-9944-43A3-90BC-4D2FBC6ADEB1}"/>
    <cellStyle name="40% - Accent3 2 2 6 3" xfId="6223" xr:uid="{00000000-0005-0000-0000-000027050000}"/>
    <cellStyle name="40% - Accent3 2 2 6 3 2" xfId="15549" xr:uid="{5C2D9C37-6AD5-4333-8C2C-F0B60FC58E75}"/>
    <cellStyle name="40% - Accent3 2 2 6 4" xfId="11332" xr:uid="{3B6FAF63-3C73-4686-A785-9EEF8317696E}"/>
    <cellStyle name="40% - Accent3 2 2 7" xfId="2330" xr:uid="{00000000-0005-0000-0000-000028050000}"/>
    <cellStyle name="40% - Accent3 2 2 7 2" xfId="6636" xr:uid="{00000000-0005-0000-0000-000029050000}"/>
    <cellStyle name="40% - Accent3 2 2 7 2 2" xfId="15962" xr:uid="{15A26898-9061-436D-9612-C37699E78780}"/>
    <cellStyle name="40% - Accent3 2 2 7 3" xfId="11745" xr:uid="{B5904901-A9E5-499F-867E-EC4D0AD547F6}"/>
    <cellStyle name="40% - Accent3 2 2 8" xfId="4570" xr:uid="{00000000-0005-0000-0000-00002A050000}"/>
    <cellStyle name="40% - Accent3 2 2 8 2" xfId="13896" xr:uid="{0AF4906B-093D-4652-BC04-03F08BF68B2F}"/>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AC53512E-09D9-476E-92F3-5F10897403F9}"/>
    <cellStyle name="40% - Accent3 2 3 2 2 3" xfId="12240" xr:uid="{304C4C0C-09AF-4E0A-84B4-0A09B68458F4}"/>
    <cellStyle name="40% - Accent3 2 3 2 3" xfId="4986" xr:uid="{00000000-0005-0000-0000-00002F050000}"/>
    <cellStyle name="40% - Accent3 2 3 2 3 2" xfId="14312" xr:uid="{FF9055AB-F6A2-48A9-BC70-ABEEC7B631DB}"/>
    <cellStyle name="40% - Accent3 2 3 2 4" xfId="9432" xr:uid="{54D6848B-0200-4F42-820D-262A8F9A2C0F}"/>
    <cellStyle name="40% - Accent3 2 3 2 5" xfId="10095" xr:uid="{402394B5-3DE0-4E92-9E33-E2AC262B8DB3}"/>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D813D17C-CC45-4C7A-B466-F10844C9F957}"/>
    <cellStyle name="40% - Accent3 2 3 3 2 3" xfId="12653" xr:uid="{5187A083-57EC-4A05-BB4A-466E51FCD471}"/>
    <cellStyle name="40% - Accent3 2 3 3 3" xfId="5399" xr:uid="{00000000-0005-0000-0000-000033050000}"/>
    <cellStyle name="40% - Accent3 2 3 3 3 2" xfId="14725" xr:uid="{A571B2D2-2DFA-4DB6-99BC-29E545BA425E}"/>
    <cellStyle name="40% - Accent3 2 3 3 4" xfId="10508" xr:uid="{61BF59D9-E2F0-4587-9C56-DDE9098ACC43}"/>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941D31EA-3F5F-4128-9919-43DAA91C56AA}"/>
    <cellStyle name="40% - Accent3 2 3 4 2 3" xfId="13066" xr:uid="{3FCE3E91-F28D-40A3-A6A7-559EDAFE5E5D}"/>
    <cellStyle name="40% - Accent3 2 3 4 3" xfId="5812" xr:uid="{00000000-0005-0000-0000-000037050000}"/>
    <cellStyle name="40% - Accent3 2 3 4 3 2" xfId="15138" xr:uid="{770F49B0-097C-4C64-B208-20980204AE45}"/>
    <cellStyle name="40% - Accent3 2 3 4 4" xfId="10921" xr:uid="{27197A7F-B1E5-419C-8574-CE5F38B2A307}"/>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ABA421C8-DA0D-45AC-98C8-CDDC468D5B16}"/>
    <cellStyle name="40% - Accent3 2 3 5 2 3" xfId="13479" xr:uid="{C7464DE1-7358-4046-B965-F1EEAB40728D}"/>
    <cellStyle name="40% - Accent3 2 3 5 3" xfId="6225" xr:uid="{00000000-0005-0000-0000-00003B050000}"/>
    <cellStyle name="40% - Accent3 2 3 5 3 2" xfId="15551" xr:uid="{1A2604A6-86E0-4C05-A454-301EF5A65068}"/>
    <cellStyle name="40% - Accent3 2 3 5 4" xfId="11334" xr:uid="{1A9938CE-79C1-430D-AA1B-D9CC868094EE}"/>
    <cellStyle name="40% - Accent3 2 3 6" xfId="2332" xr:uid="{00000000-0005-0000-0000-00003C050000}"/>
    <cellStyle name="40% - Accent3 2 3 6 2" xfId="6638" xr:uid="{00000000-0005-0000-0000-00003D050000}"/>
    <cellStyle name="40% - Accent3 2 3 6 2 2" xfId="15964" xr:uid="{5D835AAA-3447-438C-BE3C-3342A73237B4}"/>
    <cellStyle name="40% - Accent3 2 3 6 3" xfId="11747" xr:uid="{07A8E8D2-1CB5-4E1E-B2C2-9B1675CE8893}"/>
    <cellStyle name="40% - Accent3 2 3 7" xfId="4572" xr:uid="{00000000-0005-0000-0000-00003E050000}"/>
    <cellStyle name="40% - Accent3 2 3 7 2" xfId="13898" xr:uid="{2E93D2C7-FECE-4AFD-A827-16704C3CC0FC}"/>
    <cellStyle name="40% - Accent3 2 3 8" xfId="9007" xr:uid="{2DEFD82C-2A62-4C1E-AA8D-7F2606BD9091}"/>
    <cellStyle name="40% - Accent3 2 3 9" xfId="9681" xr:uid="{B8D04EE1-141A-4E98-BCF2-9B46F37CF17A}"/>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7E915888-2577-4FC0-8C72-72652172A4A6}"/>
    <cellStyle name="40% - Accent3 2 4 2 3" xfId="12237" xr:uid="{52860A71-219B-4000-9D38-281BFBCF4E87}"/>
    <cellStyle name="40% - Accent3 2 4 3" xfId="4983" xr:uid="{00000000-0005-0000-0000-000042050000}"/>
    <cellStyle name="40% - Accent3 2 4 3 2" xfId="14309" xr:uid="{3AFA6E4B-D9EC-4B47-A4F0-E0F8F6A38EF4}"/>
    <cellStyle name="40% - Accent3 2 4 4" xfId="9224" xr:uid="{6B91012A-BFF2-4F1F-901C-A91F06F80031}"/>
    <cellStyle name="40% - Accent3 2 4 5" xfId="10092" xr:uid="{5CCEBA6E-E86B-46CC-8B2B-4247457A325E}"/>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4F234213-426C-4247-A1A6-2C24268C72B4}"/>
    <cellStyle name="40% - Accent3 2 5 2 3" xfId="12650" xr:uid="{0307AFB4-0AE5-4B3A-9274-F854CF57AAC0}"/>
    <cellStyle name="40% - Accent3 2 5 3" xfId="5396" xr:uid="{00000000-0005-0000-0000-000046050000}"/>
    <cellStyle name="40% - Accent3 2 5 3 2" xfId="14722" xr:uid="{0C7A7A72-B9C8-42FB-B2A7-EF115A375294}"/>
    <cellStyle name="40% - Accent3 2 5 4" xfId="10505" xr:uid="{D9E52E73-EAAE-49A9-82DA-C1265307676E}"/>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1AA355E1-A55F-4D80-9176-2EDCAE690365}"/>
    <cellStyle name="40% - Accent3 2 6 2 3" xfId="13063" xr:uid="{3B926C34-F18F-40B3-BBC9-DE37BC033EE2}"/>
    <cellStyle name="40% - Accent3 2 6 3" xfId="5809" xr:uid="{00000000-0005-0000-0000-00004A050000}"/>
    <cellStyle name="40% - Accent3 2 6 3 2" xfId="15135" xr:uid="{8818CD9D-9BD3-4B72-A6BA-DCADA15A66F9}"/>
    <cellStyle name="40% - Accent3 2 6 4" xfId="10918" xr:uid="{4A77EBBD-1F46-4093-B98D-DFAECF8533AC}"/>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C4FAC1E9-8971-4147-9CC7-C0F978CF2ECC}"/>
    <cellStyle name="40% - Accent3 2 7 2 3" xfId="13476" xr:uid="{2A9B61A4-1067-4019-B918-87070A4F1AFA}"/>
    <cellStyle name="40% - Accent3 2 7 3" xfId="6222" xr:uid="{00000000-0005-0000-0000-00004E050000}"/>
    <cellStyle name="40% - Accent3 2 7 3 2" xfId="15548" xr:uid="{0D1F9FD1-1D14-4555-8C52-019BE9323955}"/>
    <cellStyle name="40% - Accent3 2 7 4" xfId="11331" xr:uid="{D827F347-147A-46BB-AD78-D8F52363E4D9}"/>
    <cellStyle name="40% - Accent3 2 8" xfId="2329" xr:uid="{00000000-0005-0000-0000-00004F050000}"/>
    <cellStyle name="40% - Accent3 2 8 2" xfId="6635" xr:uid="{00000000-0005-0000-0000-000050050000}"/>
    <cellStyle name="40% - Accent3 2 8 2 2" xfId="15961" xr:uid="{3816B14D-1758-4CB2-BA2E-77F39DC21E63}"/>
    <cellStyle name="40% - Accent3 2 8 3" xfId="11744" xr:uid="{0C033732-2D05-4ADC-B732-F771429E5ECD}"/>
    <cellStyle name="40% - Accent3 2 9" xfId="4569" xr:uid="{00000000-0005-0000-0000-000051050000}"/>
    <cellStyle name="40% - Accent3 2 9 2" xfId="13895" xr:uid="{1C68FE8C-5FE8-4118-BE11-9E061BB3C5F1}"/>
    <cellStyle name="40% - Accent3 3" xfId="70" xr:uid="{00000000-0005-0000-0000-000052050000}"/>
    <cellStyle name="40% - Accent3 3 10" xfId="9682" xr:uid="{FEA96066-3B0B-4829-8750-FD5FEBFD0A1B}"/>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8AA11B87-02F8-4C58-B08E-F7D9462EBAF8}"/>
    <cellStyle name="40% - Accent3 3 2 2 2 3" xfId="12242" xr:uid="{2D098B33-C800-4197-9138-6DF28F964230}"/>
    <cellStyle name="40% - Accent3 3 2 2 3" xfId="4988" xr:uid="{00000000-0005-0000-0000-000057050000}"/>
    <cellStyle name="40% - Accent3 3 2 2 3 2" xfId="14314" xr:uid="{EED95CD6-C435-44B1-99B7-5608B27C5E4F}"/>
    <cellStyle name="40% - Accent3 3 2 2 4" xfId="9498" xr:uid="{7C43CF58-5AE0-4BAA-9D2B-CAB92F3612F1}"/>
    <cellStyle name="40% - Accent3 3 2 2 5" xfId="10097" xr:uid="{01A7BC88-E0A9-476C-8F40-87ED5C492106}"/>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14DA1F26-2BB5-4D20-826E-F1742BF616B9}"/>
    <cellStyle name="40% - Accent3 3 2 3 2 3" xfId="12655" xr:uid="{A5015932-38AC-470E-9FB4-36C0979F86DD}"/>
    <cellStyle name="40% - Accent3 3 2 3 3" xfId="5401" xr:uid="{00000000-0005-0000-0000-00005B050000}"/>
    <cellStyle name="40% - Accent3 3 2 3 3 2" xfId="14727" xr:uid="{F02CCD5E-656B-4665-9207-FE0607FC562A}"/>
    <cellStyle name="40% - Accent3 3 2 3 4" xfId="10510" xr:uid="{8F00263F-C475-40F8-B77C-BF16FDF69783}"/>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489C5BBB-9B91-46D0-B4F5-E3DC5B41AC69}"/>
    <cellStyle name="40% - Accent3 3 2 4 2 3" xfId="13068" xr:uid="{D533A436-904A-4160-BB76-6CAA695E03BA}"/>
    <cellStyle name="40% - Accent3 3 2 4 3" xfId="5814" xr:uid="{00000000-0005-0000-0000-00005F050000}"/>
    <cellStyle name="40% - Accent3 3 2 4 3 2" xfId="15140" xr:uid="{A58D5BD0-94A6-4AC7-8AB0-086BF747A5A7}"/>
    <cellStyle name="40% - Accent3 3 2 4 4" xfId="10923" xr:uid="{4C165951-CA9B-4AF3-AFA3-00C9006CA2B5}"/>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8CE41840-AADC-420E-AFC5-5FD4FD434E91}"/>
    <cellStyle name="40% - Accent3 3 2 5 2 3" xfId="13481" xr:uid="{001134EB-3538-43FC-AEB0-517442E11A32}"/>
    <cellStyle name="40% - Accent3 3 2 5 3" xfId="6227" xr:uid="{00000000-0005-0000-0000-000063050000}"/>
    <cellStyle name="40% - Accent3 3 2 5 3 2" xfId="15553" xr:uid="{701C7F3C-1242-4687-847B-F3DCD38E3B78}"/>
    <cellStyle name="40% - Accent3 3 2 5 4" xfId="11336" xr:uid="{A84A96F2-9585-4665-88AC-0BE76F8D2CFC}"/>
    <cellStyle name="40% - Accent3 3 2 6" xfId="2334" xr:uid="{00000000-0005-0000-0000-000064050000}"/>
    <cellStyle name="40% - Accent3 3 2 6 2" xfId="6640" xr:uid="{00000000-0005-0000-0000-000065050000}"/>
    <cellStyle name="40% - Accent3 3 2 6 2 2" xfId="15966" xr:uid="{D0143E92-492A-4BF5-ACCC-EF5E3532F09E}"/>
    <cellStyle name="40% - Accent3 3 2 6 3" xfId="11749" xr:uid="{F62263D7-E8D6-48C2-A256-5EF9D2828E0A}"/>
    <cellStyle name="40% - Accent3 3 2 7" xfId="4574" xr:uid="{00000000-0005-0000-0000-000066050000}"/>
    <cellStyle name="40% - Accent3 3 2 7 2" xfId="13900" xr:uid="{0676C18B-D2E7-4809-8C7A-11D4325E770F}"/>
    <cellStyle name="40% - Accent3 3 2 8" xfId="9073" xr:uid="{0E71C752-2CF0-411D-A05E-4DA4A73CFC34}"/>
    <cellStyle name="40% - Accent3 3 2 9" xfId="9683" xr:uid="{C1A090F9-93D2-491A-9CEB-D5FAC0ED7B8C}"/>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3CBC58B8-B1FE-4CF8-9FEC-D68231043940}"/>
    <cellStyle name="40% - Accent3 3 3 2 3" xfId="12241" xr:uid="{8A2C4CED-9911-4C37-AC0E-8CE86FEE36E5}"/>
    <cellStyle name="40% - Accent3 3 3 3" xfId="4987" xr:uid="{00000000-0005-0000-0000-00006A050000}"/>
    <cellStyle name="40% - Accent3 3 3 3 2" xfId="14313" xr:uid="{F5F0B0C0-E57F-4B2B-8AA4-92C58AD65F09}"/>
    <cellStyle name="40% - Accent3 3 3 4" xfId="9291" xr:uid="{59AB3F6D-A8C6-4A37-A8E3-967850079A77}"/>
    <cellStyle name="40% - Accent3 3 3 5" xfId="10096" xr:uid="{4C33D720-5840-469A-80A0-345B3A1F8FE2}"/>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4A87D299-8D47-4821-B022-EB34C017241C}"/>
    <cellStyle name="40% - Accent3 3 4 2 3" xfId="12654" xr:uid="{17AAFA5E-6DAC-4D53-8FF2-9330B8BD5893}"/>
    <cellStyle name="40% - Accent3 3 4 3" xfId="5400" xr:uid="{00000000-0005-0000-0000-00006E050000}"/>
    <cellStyle name="40% - Accent3 3 4 3 2" xfId="14726" xr:uid="{D5B90006-61B5-4A57-84A5-9EFCF3FF231D}"/>
    <cellStyle name="40% - Accent3 3 4 4" xfId="10509" xr:uid="{0F49AD2B-8906-4315-9968-3C95AF4EDCF7}"/>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5F66A1AF-FDE4-40C5-9F59-7E63816696DD}"/>
    <cellStyle name="40% - Accent3 3 5 2 3" xfId="13067" xr:uid="{72727114-3131-47FF-854F-F0D87AAA3166}"/>
    <cellStyle name="40% - Accent3 3 5 3" xfId="5813" xr:uid="{00000000-0005-0000-0000-000072050000}"/>
    <cellStyle name="40% - Accent3 3 5 3 2" xfId="15139" xr:uid="{3EE51224-63BB-437F-967D-3DDBE97EF181}"/>
    <cellStyle name="40% - Accent3 3 5 4" xfId="10922" xr:uid="{5C5EB9E0-2643-4FDA-9942-197750CDF300}"/>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69E9E552-CEC0-47FD-A6D5-B07A9244A880}"/>
    <cellStyle name="40% - Accent3 3 6 2 3" xfId="13480" xr:uid="{093BAFD1-16BE-402C-A2BF-EB526E475D00}"/>
    <cellStyle name="40% - Accent3 3 6 3" xfId="6226" xr:uid="{00000000-0005-0000-0000-000076050000}"/>
    <cellStyle name="40% - Accent3 3 6 3 2" xfId="15552" xr:uid="{0621378B-09E1-44E7-B262-C0C831DC1A2F}"/>
    <cellStyle name="40% - Accent3 3 6 4" xfId="11335" xr:uid="{28DCFC0B-C6DA-430B-ADAF-44868D4BBE94}"/>
    <cellStyle name="40% - Accent3 3 7" xfId="2333" xr:uid="{00000000-0005-0000-0000-000077050000}"/>
    <cellStyle name="40% - Accent3 3 7 2" xfId="6639" xr:uid="{00000000-0005-0000-0000-000078050000}"/>
    <cellStyle name="40% - Accent3 3 7 2 2" xfId="15965" xr:uid="{99D165E9-E732-412F-94C7-533D4841153A}"/>
    <cellStyle name="40% - Accent3 3 7 3" xfId="11748" xr:uid="{C96138B9-6450-4B38-8A98-688989567DD7}"/>
    <cellStyle name="40% - Accent3 3 8" xfId="4573" xr:uid="{00000000-0005-0000-0000-000079050000}"/>
    <cellStyle name="40% - Accent3 3 8 2" xfId="13899" xr:uid="{617B4734-8EF2-4C42-816E-5FADFF7A126E}"/>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46CC95CF-6F18-42E7-BC24-9CA323364BDA}"/>
    <cellStyle name="40% - Accent3 4 2 2 3" xfId="12243" xr:uid="{BAD09AA7-5183-44B2-ADB7-3275BF58F281}"/>
    <cellStyle name="40% - Accent3 4 2 3" xfId="4989" xr:uid="{00000000-0005-0000-0000-00007E050000}"/>
    <cellStyle name="40% - Accent3 4 2 3 2" xfId="14315" xr:uid="{E8E5F6A7-EA5D-4DFE-A35E-17AEA72FB9E6}"/>
    <cellStyle name="40% - Accent3 4 2 4" xfId="9377" xr:uid="{F4393833-4E73-4685-9332-CF918D5239A9}"/>
    <cellStyle name="40% - Accent3 4 2 5" xfId="10098" xr:uid="{765BACD3-217C-4F0A-8629-DA826787120B}"/>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C7D82C86-26B7-417D-962D-A96B89C4F9B1}"/>
    <cellStyle name="40% - Accent3 4 3 2 3" xfId="12656" xr:uid="{2FA9D21A-CB46-47D2-A81E-DB42DC019BEA}"/>
    <cellStyle name="40% - Accent3 4 3 3" xfId="5402" xr:uid="{00000000-0005-0000-0000-000082050000}"/>
    <cellStyle name="40% - Accent3 4 3 3 2" xfId="14728" xr:uid="{F3A2077D-5BF9-462C-8D5D-528911665D0E}"/>
    <cellStyle name="40% - Accent3 4 3 4" xfId="10511" xr:uid="{EBA7B572-A58C-472C-B8C0-2A3C449ACD03}"/>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917E7244-04C4-4FEE-B9DD-4F5B01CEC280}"/>
    <cellStyle name="40% - Accent3 4 4 2 3" xfId="13069" xr:uid="{DF0849F5-4DFF-4A83-BE67-3668162937ED}"/>
    <cellStyle name="40% - Accent3 4 4 3" xfId="5815" xr:uid="{00000000-0005-0000-0000-000086050000}"/>
    <cellStyle name="40% - Accent3 4 4 3 2" xfId="15141" xr:uid="{E321ED23-9463-4281-B36F-6B5B800385D0}"/>
    <cellStyle name="40% - Accent3 4 4 4" xfId="10924" xr:uid="{368AEFEC-0A71-4FAF-BDF8-BADE16281143}"/>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1206F75E-F6DC-4AC0-879D-69CCA4014E4C}"/>
    <cellStyle name="40% - Accent3 4 5 2 3" xfId="13482" xr:uid="{CDE8B193-4180-4415-B62E-4D5FD6F9F9FD}"/>
    <cellStyle name="40% - Accent3 4 5 3" xfId="6228" xr:uid="{00000000-0005-0000-0000-00008A050000}"/>
    <cellStyle name="40% - Accent3 4 5 3 2" xfId="15554" xr:uid="{428A43BF-C589-44D9-99A0-0D962B7A2EC0}"/>
    <cellStyle name="40% - Accent3 4 5 4" xfId="11337" xr:uid="{A9816039-0EA1-452E-AB64-72F0F0CE4172}"/>
    <cellStyle name="40% - Accent3 4 6" xfId="2335" xr:uid="{00000000-0005-0000-0000-00008B050000}"/>
    <cellStyle name="40% - Accent3 4 6 2" xfId="6641" xr:uid="{00000000-0005-0000-0000-00008C050000}"/>
    <cellStyle name="40% - Accent3 4 6 2 2" xfId="15967" xr:uid="{4ED97102-15C2-4711-AF9B-76789C0DAB36}"/>
    <cellStyle name="40% - Accent3 4 6 3" xfId="11750" xr:uid="{C4E8899C-82C8-470C-873D-0499E96FB44F}"/>
    <cellStyle name="40% - Accent3 4 7" xfId="4575" xr:uid="{00000000-0005-0000-0000-00008D050000}"/>
    <cellStyle name="40% - Accent3 4 7 2" xfId="13901" xr:uid="{67FAF9D2-A670-44F9-AB66-FE8C8A55707D}"/>
    <cellStyle name="40% - Accent3 4 8" xfId="8952" xr:uid="{74BF8F1E-4A34-4787-9BA1-0B97E446635F}"/>
    <cellStyle name="40% - Accent3 4 9" xfId="9684" xr:uid="{B383A558-F147-4175-A51F-640E3DAEC948}"/>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978CCCF4-BD5C-4C75-8B5C-1019C73CD29D}"/>
    <cellStyle name="40% - Accent3 5 2 3" xfId="12236" xr:uid="{8D7CB143-44A7-49E4-85A4-0B7D0D14921A}"/>
    <cellStyle name="40% - Accent3 5 3" xfId="4982" xr:uid="{00000000-0005-0000-0000-000091050000}"/>
    <cellStyle name="40% - Accent3 5 3 2" xfId="14308" xr:uid="{41988214-C0B4-4DD7-B187-E040F4F24872}"/>
    <cellStyle name="40% - Accent3 5 4" xfId="9185" xr:uid="{526F025D-EBF7-4976-9E38-4C0631A2843B}"/>
    <cellStyle name="40% - Accent3 5 5" xfId="10091" xr:uid="{4986178A-E09B-46D4-94A7-45BD0205CD94}"/>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B71F129B-B720-4775-8DC2-4F6D0AD249C7}"/>
    <cellStyle name="40% - Accent3 6 2 3" xfId="12649" xr:uid="{0C236262-9768-4952-90F2-DB115D342715}"/>
    <cellStyle name="40% - Accent3 6 3" xfId="5395" xr:uid="{00000000-0005-0000-0000-000095050000}"/>
    <cellStyle name="40% - Accent3 6 3 2" xfId="14721" xr:uid="{993D0F17-A40F-46AF-9041-3E53EEC9DB74}"/>
    <cellStyle name="40% - Accent3 6 4" xfId="10504" xr:uid="{23712D98-7007-41B6-9748-D3A87BB9268A}"/>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FAA1B143-7F9A-4831-9632-B9375EBEC691}"/>
    <cellStyle name="40% - Accent3 7 2 3" xfId="13062" xr:uid="{8C7692C7-ACD6-49CB-8253-208EA4E5A98F}"/>
    <cellStyle name="40% - Accent3 7 3" xfId="5808" xr:uid="{00000000-0005-0000-0000-000099050000}"/>
    <cellStyle name="40% - Accent3 7 3 2" xfId="15134" xr:uid="{EA8F93C0-C6AD-4559-A830-9F508727B2DB}"/>
    <cellStyle name="40% - Accent3 7 4" xfId="10917" xr:uid="{4D59C4ED-0628-4195-8B26-C48F2ED29AF1}"/>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4148D878-B7E4-42C5-87D4-FC297CEC48C3}"/>
    <cellStyle name="40% - Accent3 8 2 3" xfId="13475" xr:uid="{8303B3EC-8FC7-4AED-B4E3-4E677662EDAF}"/>
    <cellStyle name="40% - Accent3 8 3" xfId="6221" xr:uid="{00000000-0005-0000-0000-00009D050000}"/>
    <cellStyle name="40% - Accent3 8 3 2" xfId="15547" xr:uid="{0CFD1734-378F-4407-BA88-CF4CA4FC9E30}"/>
    <cellStyle name="40% - Accent3 8 4" xfId="11330" xr:uid="{19BD243E-802B-4EF9-9C55-F85A243E7BB7}"/>
    <cellStyle name="40% - Accent3 9" xfId="2328" xr:uid="{00000000-0005-0000-0000-00009E050000}"/>
    <cellStyle name="40% - Accent3 9 2" xfId="6634" xr:uid="{00000000-0005-0000-0000-00009F050000}"/>
    <cellStyle name="40% - Accent3 9 2 2" xfId="15960" xr:uid="{8B87B657-3509-42A8-BEFE-BA16D48D4688}"/>
    <cellStyle name="40% - Accent3 9 3" xfId="11743" xr:uid="{4B10CAC6-BC93-4738-9DAF-EDB4FF972AC4}"/>
    <cellStyle name="40% - Accent4" xfId="73" builtinId="43" customBuiltin="1"/>
    <cellStyle name="40% - Accent4 10" xfId="4576" xr:uid="{00000000-0005-0000-0000-0000A1050000}"/>
    <cellStyle name="40% - Accent4 10 2" xfId="13902" xr:uid="{123CAD16-EB56-4230-9678-12311AA9903D}"/>
    <cellStyle name="40% - Accent4 11" xfId="8765" xr:uid="{18B6B6D6-5043-43D1-BB02-3855BF7027C3}"/>
    <cellStyle name="40% - Accent4 12" xfId="9685" xr:uid="{ECAEADD1-C2EE-4130-9AB0-3C2B8FCCE6C5}"/>
    <cellStyle name="40% - Accent4 2" xfId="74" xr:uid="{00000000-0005-0000-0000-0000A2050000}"/>
    <cellStyle name="40% - Accent4 2 10" xfId="8801" xr:uid="{223FCC58-A05E-4022-8080-E75A80678FA6}"/>
    <cellStyle name="40% - Accent4 2 11" xfId="9686" xr:uid="{F85D9187-F69C-47C1-9649-5A2DFB069C53}"/>
    <cellStyle name="40% - Accent4 2 2" xfId="75" xr:uid="{00000000-0005-0000-0000-0000A3050000}"/>
    <cellStyle name="40% - Accent4 2 2 10" xfId="9687" xr:uid="{BF8B580A-FCE1-4019-BCB1-66C27F48BB53}"/>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DBF21881-F827-4A87-952B-F8E26F66889A}"/>
    <cellStyle name="40% - Accent4 2 2 2 2 2 3" xfId="12247" xr:uid="{CDA15745-A0A0-4EEF-BB79-EAC05BCBB823}"/>
    <cellStyle name="40% - Accent4 2 2 2 2 3" xfId="4993" xr:uid="{00000000-0005-0000-0000-0000A8050000}"/>
    <cellStyle name="40% - Accent4 2 2 2 2 3 2" xfId="14319" xr:uid="{975C176F-2A1A-48CF-8AE0-987239D63F36}"/>
    <cellStyle name="40% - Accent4 2 2 2 2 4" xfId="9536" xr:uid="{4351D24F-CE30-4CFD-968F-4B882F0FC9B5}"/>
    <cellStyle name="40% - Accent4 2 2 2 2 5" xfId="10102" xr:uid="{083A1FD9-7395-4ABA-BE11-4ABBD19929F3}"/>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D9732D31-7644-4F3B-B469-DAEB16DAE894}"/>
    <cellStyle name="40% - Accent4 2 2 2 3 2 3" xfId="12660" xr:uid="{2C5ADA52-50FD-4D70-8145-6CE071B3D253}"/>
    <cellStyle name="40% - Accent4 2 2 2 3 3" xfId="5406" xr:uid="{00000000-0005-0000-0000-0000AC050000}"/>
    <cellStyle name="40% - Accent4 2 2 2 3 3 2" xfId="14732" xr:uid="{63A666E4-2AEB-4C73-9165-C1F740A0F4BC}"/>
    <cellStyle name="40% - Accent4 2 2 2 3 4" xfId="10515" xr:uid="{C3E82E9D-A567-45F5-8661-109277DB59D1}"/>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01B35A7D-CEBC-4663-8E4F-A48F7C28F655}"/>
    <cellStyle name="40% - Accent4 2 2 2 4 2 3" xfId="13073" xr:uid="{25582DC8-172F-49B4-A412-DBDDAF49F74A}"/>
    <cellStyle name="40% - Accent4 2 2 2 4 3" xfId="5819" xr:uid="{00000000-0005-0000-0000-0000B0050000}"/>
    <cellStyle name="40% - Accent4 2 2 2 4 3 2" xfId="15145" xr:uid="{8BFCF60B-345C-4D7D-9A16-B2EABC348ACC}"/>
    <cellStyle name="40% - Accent4 2 2 2 4 4" xfId="10928" xr:uid="{D33F84A6-5812-4153-9DF0-0D66BDC8CA93}"/>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5BAC1279-D1FA-4684-88E8-8F0F7B78F596}"/>
    <cellStyle name="40% - Accent4 2 2 2 5 2 3" xfId="13486" xr:uid="{8B5C304B-580B-42FD-9FE8-86A20FE2A1C1}"/>
    <cellStyle name="40% - Accent4 2 2 2 5 3" xfId="6232" xr:uid="{00000000-0005-0000-0000-0000B4050000}"/>
    <cellStyle name="40% - Accent4 2 2 2 5 3 2" xfId="15558" xr:uid="{296823D5-3C1D-4927-8A0D-FC4C7BE2463F}"/>
    <cellStyle name="40% - Accent4 2 2 2 5 4" xfId="11341" xr:uid="{F5AD22F6-1A60-40C2-96FA-8C844B0ADE00}"/>
    <cellStyle name="40% - Accent4 2 2 2 6" xfId="2339" xr:uid="{00000000-0005-0000-0000-0000B5050000}"/>
    <cellStyle name="40% - Accent4 2 2 2 6 2" xfId="6645" xr:uid="{00000000-0005-0000-0000-0000B6050000}"/>
    <cellStyle name="40% - Accent4 2 2 2 6 2 2" xfId="15971" xr:uid="{7BDD55E5-4980-43C3-99DB-F07D8FFC6A96}"/>
    <cellStyle name="40% - Accent4 2 2 2 6 3" xfId="11754" xr:uid="{49D1286E-2CD1-49BD-8767-8201396EF444}"/>
    <cellStyle name="40% - Accent4 2 2 2 7" xfId="4579" xr:uid="{00000000-0005-0000-0000-0000B7050000}"/>
    <cellStyle name="40% - Accent4 2 2 2 7 2" xfId="13905" xr:uid="{380E77DE-193F-4D0E-8F4C-BFE0FCA3ADF5}"/>
    <cellStyle name="40% - Accent4 2 2 2 8" xfId="9111" xr:uid="{1DD86F12-0D11-497C-88D9-78D90E1EF65F}"/>
    <cellStyle name="40% - Accent4 2 2 2 9" xfId="9688" xr:uid="{E4548325-3D62-4282-B209-AF94544C1AC5}"/>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4B8125A4-08BE-4B84-938E-E400CF96C19A}"/>
    <cellStyle name="40% - Accent4 2 2 3 2 3" xfId="12246" xr:uid="{72B5C910-7327-4A68-B4FE-A6A6D009A9F0}"/>
    <cellStyle name="40% - Accent4 2 2 3 3" xfId="4992" xr:uid="{00000000-0005-0000-0000-0000BB050000}"/>
    <cellStyle name="40% - Accent4 2 2 3 3 2" xfId="14318" xr:uid="{D19193E6-4F05-465C-A0E7-9D5CD843A615}"/>
    <cellStyle name="40% - Accent4 2 2 3 4" xfId="9329" xr:uid="{62CB3536-9FC4-4DBF-9121-AD0025D891C9}"/>
    <cellStyle name="40% - Accent4 2 2 3 5" xfId="10101" xr:uid="{FE89341A-CDAC-4AC5-A672-EFED1901FE9F}"/>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C282B7F2-BADF-4CAB-888C-BC50419EC73E}"/>
    <cellStyle name="40% - Accent4 2 2 4 2 3" xfId="12659" xr:uid="{5ABD4793-440E-4EE8-98F0-8432D03822D4}"/>
    <cellStyle name="40% - Accent4 2 2 4 3" xfId="5405" xr:uid="{00000000-0005-0000-0000-0000BF050000}"/>
    <cellStyle name="40% - Accent4 2 2 4 3 2" xfId="14731" xr:uid="{02CE3F49-62E9-4FAA-AB79-ADB6CB1A448E}"/>
    <cellStyle name="40% - Accent4 2 2 4 4" xfId="10514" xr:uid="{B1496141-57DF-441B-A9DD-4CFE1A250A04}"/>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A2CB46EE-331C-4AEB-931D-BCFE108005D0}"/>
    <cellStyle name="40% - Accent4 2 2 5 2 3" xfId="13072" xr:uid="{D8F1C170-4A2E-402D-847A-6A99257D5972}"/>
    <cellStyle name="40% - Accent4 2 2 5 3" xfId="5818" xr:uid="{00000000-0005-0000-0000-0000C3050000}"/>
    <cellStyle name="40% - Accent4 2 2 5 3 2" xfId="15144" xr:uid="{134DA051-195A-4EE4-83AB-DAC3D78BF04F}"/>
    <cellStyle name="40% - Accent4 2 2 5 4" xfId="10927" xr:uid="{970416F5-F62B-48F0-95C7-8025A146167E}"/>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B55CD56D-1AB9-4663-8A37-C8EB31E8D5D9}"/>
    <cellStyle name="40% - Accent4 2 2 6 2 3" xfId="13485" xr:uid="{05A1CCC4-FEE5-42A4-BC7F-9E0B262F4249}"/>
    <cellStyle name="40% - Accent4 2 2 6 3" xfId="6231" xr:uid="{00000000-0005-0000-0000-0000C7050000}"/>
    <cellStyle name="40% - Accent4 2 2 6 3 2" xfId="15557" xr:uid="{D1B92725-5347-431E-8491-372510EFA909}"/>
    <cellStyle name="40% - Accent4 2 2 6 4" xfId="11340" xr:uid="{7C9B8ADA-0B0F-4796-8CC9-A9E9560BEE70}"/>
    <cellStyle name="40% - Accent4 2 2 7" xfId="2338" xr:uid="{00000000-0005-0000-0000-0000C8050000}"/>
    <cellStyle name="40% - Accent4 2 2 7 2" xfId="6644" xr:uid="{00000000-0005-0000-0000-0000C9050000}"/>
    <cellStyle name="40% - Accent4 2 2 7 2 2" xfId="15970" xr:uid="{7DBCA3EF-1DCD-4926-B833-BE115B85C903}"/>
    <cellStyle name="40% - Accent4 2 2 7 3" xfId="11753" xr:uid="{2863A38A-8B57-4430-9CAF-C5929FFCD6FF}"/>
    <cellStyle name="40% - Accent4 2 2 8" xfId="4578" xr:uid="{00000000-0005-0000-0000-0000CA050000}"/>
    <cellStyle name="40% - Accent4 2 2 8 2" xfId="13904" xr:uid="{106F1E7F-AC16-4382-AEB4-B396997EBE2E}"/>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067CCD25-8113-4388-A2B0-097440F100B6}"/>
    <cellStyle name="40% - Accent4 2 3 2 2 3" xfId="12248" xr:uid="{599A851E-C638-4A61-8A61-FC7F2908F551}"/>
    <cellStyle name="40% - Accent4 2 3 2 3" xfId="4994" xr:uid="{00000000-0005-0000-0000-0000CF050000}"/>
    <cellStyle name="40% - Accent4 2 3 2 3 2" xfId="14320" xr:uid="{BDA6EF42-0CAF-4F5B-AF0F-0C76F4EF71F9}"/>
    <cellStyle name="40% - Accent4 2 3 2 4" xfId="9433" xr:uid="{058786D1-7E7D-40D9-9218-B4C7219F4E53}"/>
    <cellStyle name="40% - Accent4 2 3 2 5" xfId="10103" xr:uid="{BCC3A9C8-2E53-4F41-AEF9-4397BFE1EFC2}"/>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FBB0665B-89AE-41FE-A145-DDBBC3C7BA3A}"/>
    <cellStyle name="40% - Accent4 2 3 3 2 3" xfId="12661" xr:uid="{493E5C5D-962B-4142-8E69-A1EDC7723EAB}"/>
    <cellStyle name="40% - Accent4 2 3 3 3" xfId="5407" xr:uid="{00000000-0005-0000-0000-0000D3050000}"/>
    <cellStyle name="40% - Accent4 2 3 3 3 2" xfId="14733" xr:uid="{2325B09A-7763-45DC-B0EC-33544242DD93}"/>
    <cellStyle name="40% - Accent4 2 3 3 4" xfId="10516" xr:uid="{F6F3A972-BFA4-4680-A6AB-3B67B4B19729}"/>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E0C11795-A7D5-42E7-9795-8DBD5F06B642}"/>
    <cellStyle name="40% - Accent4 2 3 4 2 3" xfId="13074" xr:uid="{CAF94733-4060-4A45-B5A5-C1846F7597FC}"/>
    <cellStyle name="40% - Accent4 2 3 4 3" xfId="5820" xr:uid="{00000000-0005-0000-0000-0000D7050000}"/>
    <cellStyle name="40% - Accent4 2 3 4 3 2" xfId="15146" xr:uid="{F474B262-B00E-4F6F-BF81-1452A3E69406}"/>
    <cellStyle name="40% - Accent4 2 3 4 4" xfId="10929" xr:uid="{AC6FA004-E8EA-4750-8A9E-A36932BE1AC7}"/>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B5BA86F0-F763-4BE0-8EA7-CEA902D83873}"/>
    <cellStyle name="40% - Accent4 2 3 5 2 3" xfId="13487" xr:uid="{2A92723D-2AF8-459F-879C-BF229E6EF3C7}"/>
    <cellStyle name="40% - Accent4 2 3 5 3" xfId="6233" xr:uid="{00000000-0005-0000-0000-0000DB050000}"/>
    <cellStyle name="40% - Accent4 2 3 5 3 2" xfId="15559" xr:uid="{9F631A07-B271-420C-B8A2-F23713F78CC0}"/>
    <cellStyle name="40% - Accent4 2 3 5 4" xfId="11342" xr:uid="{F641B822-1C00-4D66-B8CC-22AEEE173DF2}"/>
    <cellStyle name="40% - Accent4 2 3 6" xfId="2340" xr:uid="{00000000-0005-0000-0000-0000DC050000}"/>
    <cellStyle name="40% - Accent4 2 3 6 2" xfId="6646" xr:uid="{00000000-0005-0000-0000-0000DD050000}"/>
    <cellStyle name="40% - Accent4 2 3 6 2 2" xfId="15972" xr:uid="{00FACAE3-E2ED-4552-A363-8FC87458C972}"/>
    <cellStyle name="40% - Accent4 2 3 6 3" xfId="11755" xr:uid="{BF9AF5B0-DD27-4C34-87E8-AE55BD96CE5D}"/>
    <cellStyle name="40% - Accent4 2 3 7" xfId="4580" xr:uid="{00000000-0005-0000-0000-0000DE050000}"/>
    <cellStyle name="40% - Accent4 2 3 7 2" xfId="13906" xr:uid="{5C8D8A8C-334B-4942-A9B8-0954E4433643}"/>
    <cellStyle name="40% - Accent4 2 3 8" xfId="9008" xr:uid="{270F4CAB-C86F-4D9D-804F-69497913908B}"/>
    <cellStyle name="40% - Accent4 2 3 9" xfId="9689" xr:uid="{609FE7E5-8FEE-4352-A6B1-52F502FAEAF4}"/>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D674CFAD-2E8B-4B07-877B-F484815984E9}"/>
    <cellStyle name="40% - Accent4 2 4 2 3" xfId="12245" xr:uid="{200E9AB3-A038-47FD-AC9D-99EADCB88A49}"/>
    <cellStyle name="40% - Accent4 2 4 3" xfId="4991" xr:uid="{00000000-0005-0000-0000-0000E2050000}"/>
    <cellStyle name="40% - Accent4 2 4 3 2" xfId="14317" xr:uid="{DBC9613D-9F44-4C61-8B96-38AABD779F5E}"/>
    <cellStyle name="40% - Accent4 2 4 4" xfId="9225" xr:uid="{40EEB981-54C4-40E4-A2F9-BCD479248D23}"/>
    <cellStyle name="40% - Accent4 2 4 5" xfId="10100" xr:uid="{493C0762-F086-425B-95D9-9DE2FFEACF18}"/>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A2F6B110-BC03-4E54-B623-260254A883AB}"/>
    <cellStyle name="40% - Accent4 2 5 2 3" xfId="12658" xr:uid="{7438DEF4-1180-4781-B619-F335C1F3B8EB}"/>
    <cellStyle name="40% - Accent4 2 5 3" xfId="5404" xr:uid="{00000000-0005-0000-0000-0000E6050000}"/>
    <cellStyle name="40% - Accent4 2 5 3 2" xfId="14730" xr:uid="{623F8BA3-C9B4-48D5-9081-F766801C698B}"/>
    <cellStyle name="40% - Accent4 2 5 4" xfId="10513" xr:uid="{5DB381E7-6751-4048-B808-FDA427E18D1B}"/>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7E272FB4-B948-437F-9AA1-B2E59BDF0A62}"/>
    <cellStyle name="40% - Accent4 2 6 2 3" xfId="13071" xr:uid="{0C5889A3-1EF2-4D69-906E-5D7F26C50F72}"/>
    <cellStyle name="40% - Accent4 2 6 3" xfId="5817" xr:uid="{00000000-0005-0000-0000-0000EA050000}"/>
    <cellStyle name="40% - Accent4 2 6 3 2" xfId="15143" xr:uid="{CF1B234D-F970-49A2-8EEB-32B1CE74977A}"/>
    <cellStyle name="40% - Accent4 2 6 4" xfId="10926" xr:uid="{977F09F8-9EEC-4D0F-9F55-58B6910F0AB7}"/>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79E161E4-8DCE-413B-9C0D-5D496D6015D9}"/>
    <cellStyle name="40% - Accent4 2 7 2 3" xfId="13484" xr:uid="{EB0D7EF9-8EB5-4AA8-A659-95ED33AB35A4}"/>
    <cellStyle name="40% - Accent4 2 7 3" xfId="6230" xr:uid="{00000000-0005-0000-0000-0000EE050000}"/>
    <cellStyle name="40% - Accent4 2 7 3 2" xfId="15556" xr:uid="{C6FBF977-021A-495C-888D-0DC7255A176C}"/>
    <cellStyle name="40% - Accent4 2 7 4" xfId="11339" xr:uid="{45455A82-9B14-4C0C-AACA-1F56D084E6B9}"/>
    <cellStyle name="40% - Accent4 2 8" xfId="2337" xr:uid="{00000000-0005-0000-0000-0000EF050000}"/>
    <cellStyle name="40% - Accent4 2 8 2" xfId="6643" xr:uid="{00000000-0005-0000-0000-0000F0050000}"/>
    <cellStyle name="40% - Accent4 2 8 2 2" xfId="15969" xr:uid="{7CA83785-F0C2-4333-9515-0FA44312C773}"/>
    <cellStyle name="40% - Accent4 2 8 3" xfId="11752" xr:uid="{22709F65-5938-4673-B1B3-D24C00D80233}"/>
    <cellStyle name="40% - Accent4 2 9" xfId="4577" xr:uid="{00000000-0005-0000-0000-0000F1050000}"/>
    <cellStyle name="40% - Accent4 2 9 2" xfId="13903" xr:uid="{B97DDC29-90A1-42A8-BBA0-B6CBBE225C66}"/>
    <cellStyle name="40% - Accent4 3" xfId="78" xr:uid="{00000000-0005-0000-0000-0000F2050000}"/>
    <cellStyle name="40% - Accent4 3 10" xfId="9690" xr:uid="{E6465A31-F2C4-42DC-A6C8-EB3BAD7FF67B}"/>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05BAE49F-CC3A-4821-87DB-7141253382E7}"/>
    <cellStyle name="40% - Accent4 3 2 2 2 3" xfId="12250" xr:uid="{4BC25D65-570F-404B-81A9-8FEB8FF917E9}"/>
    <cellStyle name="40% - Accent4 3 2 2 3" xfId="4996" xr:uid="{00000000-0005-0000-0000-0000F7050000}"/>
    <cellStyle name="40% - Accent4 3 2 2 3 2" xfId="14322" xr:uid="{4E2D99FB-F1D8-4A53-B7BD-6838A4FF4711}"/>
    <cellStyle name="40% - Accent4 3 2 2 4" xfId="9500" xr:uid="{EAAAC99F-A3A1-40FB-B78D-6862EF121B7A}"/>
    <cellStyle name="40% - Accent4 3 2 2 5" xfId="10105" xr:uid="{BDBD317C-C7C4-4279-B47F-7FE1CBE3E624}"/>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21608E2F-8089-4AE8-917B-F45EB7CE1AA0}"/>
    <cellStyle name="40% - Accent4 3 2 3 2 3" xfId="12663" xr:uid="{81F5EF8C-D59D-431E-9193-D4ED3C71329F}"/>
    <cellStyle name="40% - Accent4 3 2 3 3" xfId="5409" xr:uid="{00000000-0005-0000-0000-0000FB050000}"/>
    <cellStyle name="40% - Accent4 3 2 3 3 2" xfId="14735" xr:uid="{47384841-6529-44F7-A2B5-5D1C1A08C724}"/>
    <cellStyle name="40% - Accent4 3 2 3 4" xfId="10518" xr:uid="{58971B41-9A6E-4743-9E5F-FCB0695C05EB}"/>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0C231DB3-CDA1-4BEF-9FEB-5C664A18D844}"/>
    <cellStyle name="40% - Accent4 3 2 4 2 3" xfId="13076" xr:uid="{5573F3D9-A1A0-404E-A667-D4CA29D488C6}"/>
    <cellStyle name="40% - Accent4 3 2 4 3" xfId="5822" xr:uid="{00000000-0005-0000-0000-0000FF050000}"/>
    <cellStyle name="40% - Accent4 3 2 4 3 2" xfId="15148" xr:uid="{0C0B4C74-541B-489C-84D4-5CECFB258D59}"/>
    <cellStyle name="40% - Accent4 3 2 4 4" xfId="10931" xr:uid="{1B060550-3654-4006-8DC2-0E7DBD6FED0C}"/>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F71B9419-4D14-4B33-A350-DB619F8452B9}"/>
    <cellStyle name="40% - Accent4 3 2 5 2 3" xfId="13489" xr:uid="{19E41C87-5916-4500-B914-E2070267D6B2}"/>
    <cellStyle name="40% - Accent4 3 2 5 3" xfId="6235" xr:uid="{00000000-0005-0000-0000-000003060000}"/>
    <cellStyle name="40% - Accent4 3 2 5 3 2" xfId="15561" xr:uid="{718A1BD7-17E8-4D58-A4D6-494565ED4114}"/>
    <cellStyle name="40% - Accent4 3 2 5 4" xfId="11344" xr:uid="{ACF71077-F79C-4B18-8174-6F63B2ACD221}"/>
    <cellStyle name="40% - Accent4 3 2 6" xfId="2342" xr:uid="{00000000-0005-0000-0000-000004060000}"/>
    <cellStyle name="40% - Accent4 3 2 6 2" xfId="6648" xr:uid="{00000000-0005-0000-0000-000005060000}"/>
    <cellStyle name="40% - Accent4 3 2 6 2 2" xfId="15974" xr:uid="{19BFE178-E677-49E6-B47E-ECD282A540BE}"/>
    <cellStyle name="40% - Accent4 3 2 6 3" xfId="11757" xr:uid="{10D478E7-4F95-4866-9D3D-BBBC0E38931F}"/>
    <cellStyle name="40% - Accent4 3 2 7" xfId="4582" xr:uid="{00000000-0005-0000-0000-000006060000}"/>
    <cellStyle name="40% - Accent4 3 2 7 2" xfId="13908" xr:uid="{A9704FD0-A1F2-4447-ABBE-26620B4EE7E4}"/>
    <cellStyle name="40% - Accent4 3 2 8" xfId="9075" xr:uid="{6C51FF47-5618-4E1E-BC97-01FFF287A6C3}"/>
    <cellStyle name="40% - Accent4 3 2 9" xfId="9691" xr:uid="{C6A684D8-319F-499A-9640-8112D4C85EAA}"/>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11DA2374-7DA4-4C98-AFAF-093C0658FF0B}"/>
    <cellStyle name="40% - Accent4 3 3 2 3" xfId="12249" xr:uid="{312DA2EF-2B61-42F5-A3F3-C48A6C5BAD5E}"/>
    <cellStyle name="40% - Accent4 3 3 3" xfId="4995" xr:uid="{00000000-0005-0000-0000-00000A060000}"/>
    <cellStyle name="40% - Accent4 3 3 3 2" xfId="14321" xr:uid="{D283E404-BCE7-4E42-9214-C2F55D14A654}"/>
    <cellStyle name="40% - Accent4 3 3 4" xfId="9293" xr:uid="{4A28D7F5-3617-45DC-A350-6C6596CDA765}"/>
    <cellStyle name="40% - Accent4 3 3 5" xfId="10104" xr:uid="{F08AB526-4F54-465C-84D8-F85EC52A168C}"/>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9EF77BB6-6906-41C8-A60C-37DF41A1D504}"/>
    <cellStyle name="40% - Accent4 3 4 2 3" xfId="12662" xr:uid="{F91D93C8-B002-458D-8109-ACA510CF78A8}"/>
    <cellStyle name="40% - Accent4 3 4 3" xfId="5408" xr:uid="{00000000-0005-0000-0000-00000E060000}"/>
    <cellStyle name="40% - Accent4 3 4 3 2" xfId="14734" xr:uid="{F480F19C-4E4A-4E72-8976-3CFEADF898A5}"/>
    <cellStyle name="40% - Accent4 3 4 4" xfId="10517" xr:uid="{A49377A5-E362-49CA-86DB-307640E221E9}"/>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1540860A-B819-4753-8399-15C47E823539}"/>
    <cellStyle name="40% - Accent4 3 5 2 3" xfId="13075" xr:uid="{466C00BA-F1D0-4685-BFE6-C5C60EBC292E}"/>
    <cellStyle name="40% - Accent4 3 5 3" xfId="5821" xr:uid="{00000000-0005-0000-0000-000012060000}"/>
    <cellStyle name="40% - Accent4 3 5 3 2" xfId="15147" xr:uid="{2D8C0FF0-7E29-44D8-9731-920AE3E46E19}"/>
    <cellStyle name="40% - Accent4 3 5 4" xfId="10930" xr:uid="{18EF59F2-40C3-4103-8BE8-FBE4D407D202}"/>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F5B3D146-DD51-4047-B59F-AEE38B99D3A4}"/>
    <cellStyle name="40% - Accent4 3 6 2 3" xfId="13488" xr:uid="{1A240EC8-7603-41FB-AC40-58C28D84CC06}"/>
    <cellStyle name="40% - Accent4 3 6 3" xfId="6234" xr:uid="{00000000-0005-0000-0000-000016060000}"/>
    <cellStyle name="40% - Accent4 3 6 3 2" xfId="15560" xr:uid="{49E62FB0-D00F-49D5-81BF-3034E99CD78B}"/>
    <cellStyle name="40% - Accent4 3 6 4" xfId="11343" xr:uid="{5AA8BB27-79E5-4C95-9EF3-668DAC04C530}"/>
    <cellStyle name="40% - Accent4 3 7" xfId="2341" xr:uid="{00000000-0005-0000-0000-000017060000}"/>
    <cellStyle name="40% - Accent4 3 7 2" xfId="6647" xr:uid="{00000000-0005-0000-0000-000018060000}"/>
    <cellStyle name="40% - Accent4 3 7 2 2" xfId="15973" xr:uid="{D25B930E-4946-44C1-A541-26CAC187DAE0}"/>
    <cellStyle name="40% - Accent4 3 7 3" xfId="11756" xr:uid="{DC0FDFA0-38C4-44BE-85F1-DE0F4945DBA2}"/>
    <cellStyle name="40% - Accent4 3 8" xfId="4581" xr:uid="{00000000-0005-0000-0000-000019060000}"/>
    <cellStyle name="40% - Accent4 3 8 2" xfId="13907" xr:uid="{CC107949-E2FD-42E4-9AEF-98A121CD086A}"/>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13C38069-7ACA-425C-A114-999BD2A26008}"/>
    <cellStyle name="40% - Accent4 4 2 2 3" xfId="12251" xr:uid="{78FEA2A9-EFFF-44E6-A102-6BB11F1C1164}"/>
    <cellStyle name="40% - Accent4 4 2 3" xfId="4997" xr:uid="{00000000-0005-0000-0000-00001E060000}"/>
    <cellStyle name="40% - Accent4 4 2 3 2" xfId="14323" xr:uid="{8C8A259F-FD45-437C-9FDD-E0999E704939}"/>
    <cellStyle name="40% - Accent4 4 2 4" xfId="9379" xr:uid="{EE31EAE0-1741-4D6E-B7B4-C5DB59044F55}"/>
    <cellStyle name="40% - Accent4 4 2 5" xfId="10106" xr:uid="{4386FC51-82B5-4272-AB19-058BF24E15C0}"/>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BC8B6710-D3A1-48F6-99A8-0D5D6B675965}"/>
    <cellStyle name="40% - Accent4 4 3 2 3" xfId="12664" xr:uid="{C21888A4-DB96-44B1-8408-745A618436E8}"/>
    <cellStyle name="40% - Accent4 4 3 3" xfId="5410" xr:uid="{00000000-0005-0000-0000-000022060000}"/>
    <cellStyle name="40% - Accent4 4 3 3 2" xfId="14736" xr:uid="{60161855-A9B2-4554-A222-77AA26832875}"/>
    <cellStyle name="40% - Accent4 4 3 4" xfId="10519" xr:uid="{B6D50CD3-3B97-4514-822C-D424BB1367D1}"/>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F0EA5562-F718-46DE-AA29-CED6CCC6621D}"/>
    <cellStyle name="40% - Accent4 4 4 2 3" xfId="13077" xr:uid="{DD523AEC-B5B8-4D92-A256-8A47B01DBD2B}"/>
    <cellStyle name="40% - Accent4 4 4 3" xfId="5823" xr:uid="{00000000-0005-0000-0000-000026060000}"/>
    <cellStyle name="40% - Accent4 4 4 3 2" xfId="15149" xr:uid="{B9DCF6B7-DA5D-4FF8-B0CE-E2FD3E80874B}"/>
    <cellStyle name="40% - Accent4 4 4 4" xfId="10932" xr:uid="{18CD5899-3B24-4206-BA1B-54C0CFCA233D}"/>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44611F4B-FC98-455E-BD6A-423C36BA6B36}"/>
    <cellStyle name="40% - Accent4 4 5 2 3" xfId="13490" xr:uid="{1B5D0B59-95B9-4574-B375-42D1F0588C09}"/>
    <cellStyle name="40% - Accent4 4 5 3" xfId="6236" xr:uid="{00000000-0005-0000-0000-00002A060000}"/>
    <cellStyle name="40% - Accent4 4 5 3 2" xfId="15562" xr:uid="{9821B83E-82BE-4CF9-84F6-2FC50F9E7AD7}"/>
    <cellStyle name="40% - Accent4 4 5 4" xfId="11345" xr:uid="{544D7A05-9622-4CF8-8AFB-8930B9B7B896}"/>
    <cellStyle name="40% - Accent4 4 6" xfId="2343" xr:uid="{00000000-0005-0000-0000-00002B060000}"/>
    <cellStyle name="40% - Accent4 4 6 2" xfId="6649" xr:uid="{00000000-0005-0000-0000-00002C060000}"/>
    <cellStyle name="40% - Accent4 4 6 2 2" xfId="15975" xr:uid="{7BAB1759-C7B0-43A8-A275-A8CAE8A922D2}"/>
    <cellStyle name="40% - Accent4 4 6 3" xfId="11758" xr:uid="{34B830A7-0ABD-4DFA-86EF-4F7CB1A54BAE}"/>
    <cellStyle name="40% - Accent4 4 7" xfId="4583" xr:uid="{00000000-0005-0000-0000-00002D060000}"/>
    <cellStyle name="40% - Accent4 4 7 2" xfId="13909" xr:uid="{F66E5ED0-4129-431D-B5D6-6D8096E5E6F6}"/>
    <cellStyle name="40% - Accent4 4 8" xfId="8954" xr:uid="{2C178683-58B3-4513-85E7-15FAC3AC035D}"/>
    <cellStyle name="40% - Accent4 4 9" xfId="9692" xr:uid="{14E27E50-233F-44D2-8BB0-3AD9B45381F2}"/>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F29164C4-7951-4780-ADC2-F01CE7B3E7F0}"/>
    <cellStyle name="40% - Accent4 5 2 3" xfId="12244" xr:uid="{DA697FA5-3467-4447-9C5E-6D8470098224}"/>
    <cellStyle name="40% - Accent4 5 3" xfId="4990" xr:uid="{00000000-0005-0000-0000-000031060000}"/>
    <cellStyle name="40% - Accent4 5 3 2" xfId="14316" xr:uid="{E52FB833-F340-4A3C-8542-3BD839889EFC}"/>
    <cellStyle name="40% - Accent4 5 4" xfId="9187" xr:uid="{33022C89-0CDD-4091-8005-358F63FF8F46}"/>
    <cellStyle name="40% - Accent4 5 5" xfId="10099" xr:uid="{383604EA-F091-443C-831B-EE75A60D3E82}"/>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CF1C5D96-4397-4F7F-BBFF-AE152BA0F5A2}"/>
    <cellStyle name="40% - Accent4 6 2 3" xfId="12657" xr:uid="{6C4F3B40-79E3-49EE-A19C-8427F08B0BB1}"/>
    <cellStyle name="40% - Accent4 6 3" xfId="5403" xr:uid="{00000000-0005-0000-0000-000035060000}"/>
    <cellStyle name="40% - Accent4 6 3 2" xfId="14729" xr:uid="{3F4F9D66-D105-40F5-A110-52FB9D015F37}"/>
    <cellStyle name="40% - Accent4 6 4" xfId="10512" xr:uid="{B4436D07-CB01-41DD-9E83-F342C7860614}"/>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348A43F2-E3FA-4A7B-A114-B9A4625AFC79}"/>
    <cellStyle name="40% - Accent4 7 2 3" xfId="13070" xr:uid="{BB64B1BD-BED5-4D0E-BAE8-8E5DEBE7D838}"/>
    <cellStyle name="40% - Accent4 7 3" xfId="5816" xr:uid="{00000000-0005-0000-0000-000039060000}"/>
    <cellStyle name="40% - Accent4 7 3 2" xfId="15142" xr:uid="{595B7419-CEA5-440F-89B9-FAD50A83D646}"/>
    <cellStyle name="40% - Accent4 7 4" xfId="10925" xr:uid="{32497D94-84B4-4081-9701-84ABCE64984D}"/>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1D0CF608-6BFF-4AAD-BEE5-C8750ED98253}"/>
    <cellStyle name="40% - Accent4 8 2 3" xfId="13483" xr:uid="{E5095044-898E-466B-AC86-7867586D187F}"/>
    <cellStyle name="40% - Accent4 8 3" xfId="6229" xr:uid="{00000000-0005-0000-0000-00003D060000}"/>
    <cellStyle name="40% - Accent4 8 3 2" xfId="15555" xr:uid="{097C5153-B0FF-4CAC-ACD9-BA81EB8B7060}"/>
    <cellStyle name="40% - Accent4 8 4" xfId="11338" xr:uid="{A2B1E7B7-B715-4FFA-A98E-D7CF6A191440}"/>
    <cellStyle name="40% - Accent4 9" xfId="2336" xr:uid="{00000000-0005-0000-0000-00003E060000}"/>
    <cellStyle name="40% - Accent4 9 2" xfId="6642" xr:uid="{00000000-0005-0000-0000-00003F060000}"/>
    <cellStyle name="40% - Accent4 9 2 2" xfId="15968" xr:uid="{1C0A12BF-CBD2-4106-831E-5F712BEEB74C}"/>
    <cellStyle name="40% - Accent4 9 3" xfId="11751" xr:uid="{642B431B-1C9D-4288-9BAA-062E2CCEB676}"/>
    <cellStyle name="40% - Accent5" xfId="81" builtinId="47" customBuiltin="1"/>
    <cellStyle name="40% - Accent5 10" xfId="4584" xr:uid="{00000000-0005-0000-0000-000041060000}"/>
    <cellStyle name="40% - Accent5 10 2" xfId="13910" xr:uid="{F3ADF891-1C1E-4E55-BE0F-EA85091C593A}"/>
    <cellStyle name="40% - Accent5 11" xfId="8767" xr:uid="{7A46ADF8-3420-4D4A-A3FE-8E96F0FA38E7}"/>
    <cellStyle name="40% - Accent5 12" xfId="9693" xr:uid="{A8271C9E-5ECC-427E-A0B2-CC38CD99BB25}"/>
    <cellStyle name="40% - Accent5 2" xfId="82" xr:uid="{00000000-0005-0000-0000-000042060000}"/>
    <cellStyle name="40% - Accent5 2 10" xfId="8802" xr:uid="{CF9BFF45-99AC-47A3-8B01-051C55FBB24D}"/>
    <cellStyle name="40% - Accent5 2 11" xfId="9694" xr:uid="{ECCFB1A8-4688-46A2-BBF9-0D25BA388A4B}"/>
    <cellStyle name="40% - Accent5 2 2" xfId="83" xr:uid="{00000000-0005-0000-0000-000043060000}"/>
    <cellStyle name="40% - Accent5 2 2 10" xfId="9695" xr:uid="{EEFFCBE8-2610-4668-A451-12F105B6C764}"/>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A9909148-4261-4951-8B01-7AEA0341516D}"/>
    <cellStyle name="40% - Accent5 2 2 2 2 2 3" xfId="12255" xr:uid="{55A8FCF5-798F-4DD3-931E-FFF2BEBB65E7}"/>
    <cellStyle name="40% - Accent5 2 2 2 2 3" xfId="5001" xr:uid="{00000000-0005-0000-0000-000048060000}"/>
    <cellStyle name="40% - Accent5 2 2 2 2 3 2" xfId="14327" xr:uid="{AFF69C1E-9250-4DD0-BB9E-F91DA432DE6A}"/>
    <cellStyle name="40% - Accent5 2 2 2 2 4" xfId="9537" xr:uid="{83834145-5D3F-4083-A609-6DB90651C4CE}"/>
    <cellStyle name="40% - Accent5 2 2 2 2 5" xfId="10110" xr:uid="{5BEE0F0B-088E-413F-A392-E83702638F3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0D1974B7-C618-4C78-91E3-D0C0ADA3CA88}"/>
    <cellStyle name="40% - Accent5 2 2 2 3 2 3" xfId="12668" xr:uid="{9EC06DEA-D4E7-4BDD-8915-6247D75E5358}"/>
    <cellStyle name="40% - Accent5 2 2 2 3 3" xfId="5414" xr:uid="{00000000-0005-0000-0000-00004C060000}"/>
    <cellStyle name="40% - Accent5 2 2 2 3 3 2" xfId="14740" xr:uid="{F6C1A94D-2392-4E84-A288-2BB8ACB84D53}"/>
    <cellStyle name="40% - Accent5 2 2 2 3 4" xfId="10523" xr:uid="{1EF201EE-99DE-41BE-B5AF-A5BB0988B6F6}"/>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3CAEEE2A-C4FC-420A-83E8-38D9185DEF40}"/>
    <cellStyle name="40% - Accent5 2 2 2 4 2 3" xfId="13081" xr:uid="{553520BB-A9E4-4002-8CA1-068C34B4E31A}"/>
    <cellStyle name="40% - Accent5 2 2 2 4 3" xfId="5827" xr:uid="{00000000-0005-0000-0000-000050060000}"/>
    <cellStyle name="40% - Accent5 2 2 2 4 3 2" xfId="15153" xr:uid="{670D98C5-9A66-47F1-A5DF-4E279E20586F}"/>
    <cellStyle name="40% - Accent5 2 2 2 4 4" xfId="10936" xr:uid="{0035397A-3E75-430A-BBB3-FE7BB39D32A4}"/>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9F3171EC-F96B-45E4-8237-0C49BA68FF97}"/>
    <cellStyle name="40% - Accent5 2 2 2 5 2 3" xfId="13494" xr:uid="{97F53E16-B6E9-45C7-8C81-799A1444B36A}"/>
    <cellStyle name="40% - Accent5 2 2 2 5 3" xfId="6240" xr:uid="{00000000-0005-0000-0000-000054060000}"/>
    <cellStyle name="40% - Accent5 2 2 2 5 3 2" xfId="15566" xr:uid="{1FC2A728-7081-4C63-88BF-34AE60DB4DC9}"/>
    <cellStyle name="40% - Accent5 2 2 2 5 4" xfId="11349" xr:uid="{848B33A7-35AA-4556-A76B-9E591423E8F5}"/>
    <cellStyle name="40% - Accent5 2 2 2 6" xfId="2347" xr:uid="{00000000-0005-0000-0000-000055060000}"/>
    <cellStyle name="40% - Accent5 2 2 2 6 2" xfId="6653" xr:uid="{00000000-0005-0000-0000-000056060000}"/>
    <cellStyle name="40% - Accent5 2 2 2 6 2 2" xfId="15979" xr:uid="{09791BB0-F0AB-40E4-A4C0-D32D98EC3630}"/>
    <cellStyle name="40% - Accent5 2 2 2 6 3" xfId="11762" xr:uid="{328EA038-2787-43C8-A341-6C3C7100094D}"/>
    <cellStyle name="40% - Accent5 2 2 2 7" xfId="4587" xr:uid="{00000000-0005-0000-0000-000057060000}"/>
    <cellStyle name="40% - Accent5 2 2 2 7 2" xfId="13913" xr:uid="{86BD48D0-69FF-401B-962A-B2FA911C8812}"/>
    <cellStyle name="40% - Accent5 2 2 2 8" xfId="9112" xr:uid="{65D0CC40-E9D0-4CE3-B684-8DE4A2C7BCD7}"/>
    <cellStyle name="40% - Accent5 2 2 2 9" xfId="9696" xr:uid="{9FEA825F-8842-42AF-A130-1D75AAC2B9E1}"/>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963D7388-1816-4E8C-B9BA-3CC8C9DFC0AF}"/>
    <cellStyle name="40% - Accent5 2 2 3 2 3" xfId="12254" xr:uid="{DD77979F-C2D4-46FD-B6DF-B77C17547769}"/>
    <cellStyle name="40% - Accent5 2 2 3 3" xfId="5000" xr:uid="{00000000-0005-0000-0000-00005B060000}"/>
    <cellStyle name="40% - Accent5 2 2 3 3 2" xfId="14326" xr:uid="{EA3530D3-267C-4019-BF80-5AB32D523714}"/>
    <cellStyle name="40% - Accent5 2 2 3 4" xfId="9330" xr:uid="{75959B30-FD84-42A5-95AE-69048CCC8361}"/>
    <cellStyle name="40% - Accent5 2 2 3 5" xfId="10109" xr:uid="{590B528B-4EAB-4B51-8FC6-FF2CB9860ECA}"/>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52D66F38-8316-4FC7-B595-49D184746D76}"/>
    <cellStyle name="40% - Accent5 2 2 4 2 3" xfId="12667" xr:uid="{392FC3BA-96EA-4379-9281-A402C1F641D4}"/>
    <cellStyle name="40% - Accent5 2 2 4 3" xfId="5413" xr:uid="{00000000-0005-0000-0000-00005F060000}"/>
    <cellStyle name="40% - Accent5 2 2 4 3 2" xfId="14739" xr:uid="{69991A79-D263-48D3-B331-6C27DD44978B}"/>
    <cellStyle name="40% - Accent5 2 2 4 4" xfId="10522" xr:uid="{8327E8C6-FA13-4D05-BBBF-2FEE8E14E738}"/>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9C68B1A9-2FAE-4954-88F7-CE75128B2F92}"/>
    <cellStyle name="40% - Accent5 2 2 5 2 3" xfId="13080" xr:uid="{90ABA15A-38ED-49FA-818F-6BD0CD3A3CD7}"/>
    <cellStyle name="40% - Accent5 2 2 5 3" xfId="5826" xr:uid="{00000000-0005-0000-0000-000063060000}"/>
    <cellStyle name="40% - Accent5 2 2 5 3 2" xfId="15152" xr:uid="{8A34079A-75A4-4A06-B73F-05A8F862D7D1}"/>
    <cellStyle name="40% - Accent5 2 2 5 4" xfId="10935" xr:uid="{BB2C23B3-E4F5-47D6-B561-28DF699CDF5E}"/>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8868748A-8B43-45D0-9A32-11F3E4133400}"/>
    <cellStyle name="40% - Accent5 2 2 6 2 3" xfId="13493" xr:uid="{2ED91823-E701-4A90-B330-E20741915F0D}"/>
    <cellStyle name="40% - Accent5 2 2 6 3" xfId="6239" xr:uid="{00000000-0005-0000-0000-000067060000}"/>
    <cellStyle name="40% - Accent5 2 2 6 3 2" xfId="15565" xr:uid="{35C0DFF8-495D-4201-A5CB-929715F9EC24}"/>
    <cellStyle name="40% - Accent5 2 2 6 4" xfId="11348" xr:uid="{EF298A75-E0F5-4645-8696-E097D5B8BE1B}"/>
    <cellStyle name="40% - Accent5 2 2 7" xfId="2346" xr:uid="{00000000-0005-0000-0000-000068060000}"/>
    <cellStyle name="40% - Accent5 2 2 7 2" xfId="6652" xr:uid="{00000000-0005-0000-0000-000069060000}"/>
    <cellStyle name="40% - Accent5 2 2 7 2 2" xfId="15978" xr:uid="{E5892A14-C92E-4B35-B7FC-EDF3069FC91C}"/>
    <cellStyle name="40% - Accent5 2 2 7 3" xfId="11761" xr:uid="{A2D33A1D-D71E-47B6-A723-E80F5F8BD709}"/>
    <cellStyle name="40% - Accent5 2 2 8" xfId="4586" xr:uid="{00000000-0005-0000-0000-00006A060000}"/>
    <cellStyle name="40% - Accent5 2 2 8 2" xfId="13912" xr:uid="{68173731-BD29-4023-9CDF-B8A4A5E6A40F}"/>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1768FBE2-2B10-4C96-BDBC-6C7C249A6161}"/>
    <cellStyle name="40% - Accent5 2 3 2 2 3" xfId="12256" xr:uid="{3FC4CCCF-8EAD-4E40-A9EB-B3EC63C6963F}"/>
    <cellStyle name="40% - Accent5 2 3 2 3" xfId="5002" xr:uid="{00000000-0005-0000-0000-00006F060000}"/>
    <cellStyle name="40% - Accent5 2 3 2 3 2" xfId="14328" xr:uid="{E83BEF0D-AA1E-41FD-9BE8-EABA0A4A109C}"/>
    <cellStyle name="40% - Accent5 2 3 2 4" xfId="9434" xr:uid="{512EAA64-F150-4B15-8534-EB34D6D41408}"/>
    <cellStyle name="40% - Accent5 2 3 2 5" xfId="10111" xr:uid="{136AA603-53A3-417D-B656-A2B225BFBDEF}"/>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D6FC9839-BEEF-4B23-B5A3-3926F0FF4179}"/>
    <cellStyle name="40% - Accent5 2 3 3 2 3" xfId="12669" xr:uid="{10C04C3C-E43C-40C6-96B3-00F35CC83EA9}"/>
    <cellStyle name="40% - Accent5 2 3 3 3" xfId="5415" xr:uid="{00000000-0005-0000-0000-000073060000}"/>
    <cellStyle name="40% - Accent5 2 3 3 3 2" xfId="14741" xr:uid="{98FD4800-A25B-4BBE-98E8-1661B4C37428}"/>
    <cellStyle name="40% - Accent5 2 3 3 4" xfId="10524" xr:uid="{B168DB19-DDA3-410A-841B-F03AF6249593}"/>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1C07B914-3624-4EB3-A191-6CC3E7CB5286}"/>
    <cellStyle name="40% - Accent5 2 3 4 2 3" xfId="13082" xr:uid="{73B8D3AD-8DE5-4CC9-B3BF-DC89C63EA4B0}"/>
    <cellStyle name="40% - Accent5 2 3 4 3" xfId="5828" xr:uid="{00000000-0005-0000-0000-000077060000}"/>
    <cellStyle name="40% - Accent5 2 3 4 3 2" xfId="15154" xr:uid="{4B4C36F6-16B3-4B1D-A869-580A29BE866D}"/>
    <cellStyle name="40% - Accent5 2 3 4 4" xfId="10937" xr:uid="{F7782482-D788-45F9-B1EA-ED3E59C077A4}"/>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6209EED6-EA14-4342-9159-4C8339C008DE}"/>
    <cellStyle name="40% - Accent5 2 3 5 2 3" xfId="13495" xr:uid="{55B8AA7E-81FC-4430-B9C3-02999E425CB1}"/>
    <cellStyle name="40% - Accent5 2 3 5 3" xfId="6241" xr:uid="{00000000-0005-0000-0000-00007B060000}"/>
    <cellStyle name="40% - Accent5 2 3 5 3 2" xfId="15567" xr:uid="{4A0670CF-F6F5-49DD-B396-1A2FA7A12892}"/>
    <cellStyle name="40% - Accent5 2 3 5 4" xfId="11350" xr:uid="{61487262-5EA3-4932-B73C-7F882241AFCE}"/>
    <cellStyle name="40% - Accent5 2 3 6" xfId="2348" xr:uid="{00000000-0005-0000-0000-00007C060000}"/>
    <cellStyle name="40% - Accent5 2 3 6 2" xfId="6654" xr:uid="{00000000-0005-0000-0000-00007D060000}"/>
    <cellStyle name="40% - Accent5 2 3 6 2 2" xfId="15980" xr:uid="{B278F10C-4477-49B9-866B-0B40214D81F1}"/>
    <cellStyle name="40% - Accent5 2 3 6 3" xfId="11763" xr:uid="{656E10CF-8D53-49AF-B13D-A4D6286F7F4E}"/>
    <cellStyle name="40% - Accent5 2 3 7" xfId="4588" xr:uid="{00000000-0005-0000-0000-00007E060000}"/>
    <cellStyle name="40% - Accent5 2 3 7 2" xfId="13914" xr:uid="{9CADFACB-50E9-476E-8350-C9D256910649}"/>
    <cellStyle name="40% - Accent5 2 3 8" xfId="9009" xr:uid="{DE8B6E41-761F-4ED0-BA8A-00A6A898A2FC}"/>
    <cellStyle name="40% - Accent5 2 3 9" xfId="9697" xr:uid="{3B0B6BEC-E2BE-47A9-BC1C-2551385E064D}"/>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35D28FBD-1974-4367-B370-7EB152586E09}"/>
    <cellStyle name="40% - Accent5 2 4 2 3" xfId="12253" xr:uid="{668B4E04-8493-4D45-ABF3-23FAAA3A5052}"/>
    <cellStyle name="40% - Accent5 2 4 3" xfId="4999" xr:uid="{00000000-0005-0000-0000-000082060000}"/>
    <cellStyle name="40% - Accent5 2 4 3 2" xfId="14325" xr:uid="{FACC970B-98B8-40D0-8108-7CF2B30A084F}"/>
    <cellStyle name="40% - Accent5 2 4 4" xfId="9226" xr:uid="{6A688709-D29B-458C-973B-231279FAFEF5}"/>
    <cellStyle name="40% - Accent5 2 4 5" xfId="10108" xr:uid="{D81744CE-03B4-4F2D-A330-FAC1FC4CD410}"/>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45A73EEF-5132-46E0-97C7-10BBE714E565}"/>
    <cellStyle name="40% - Accent5 2 5 2 3" xfId="12666" xr:uid="{69A1B9E0-783A-44BA-BAA7-0419D28FE994}"/>
    <cellStyle name="40% - Accent5 2 5 3" xfId="5412" xr:uid="{00000000-0005-0000-0000-000086060000}"/>
    <cellStyle name="40% - Accent5 2 5 3 2" xfId="14738" xr:uid="{A6660632-AFCC-4891-8223-685010138337}"/>
    <cellStyle name="40% - Accent5 2 5 4" xfId="10521" xr:uid="{97DF2DFD-291A-4757-AA8D-C7DBFB2A3FB9}"/>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F6D1DABE-A70A-4CF4-BD09-B6D3D19D2181}"/>
    <cellStyle name="40% - Accent5 2 6 2 3" xfId="13079" xr:uid="{6533B707-0C04-451A-8860-FEFE1369CE79}"/>
    <cellStyle name="40% - Accent5 2 6 3" xfId="5825" xr:uid="{00000000-0005-0000-0000-00008A060000}"/>
    <cellStyle name="40% - Accent5 2 6 3 2" xfId="15151" xr:uid="{D99C7A32-35FD-4A25-8F0E-ACD373DD19FC}"/>
    <cellStyle name="40% - Accent5 2 6 4" xfId="10934" xr:uid="{B574E1AC-8A23-45AB-A147-00855FDCA0F1}"/>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0E7125AF-4259-48A4-A46A-F4EDFEF7ADCB}"/>
    <cellStyle name="40% - Accent5 2 7 2 3" xfId="13492" xr:uid="{C4DE258D-4916-43CE-9B60-45D457926806}"/>
    <cellStyle name="40% - Accent5 2 7 3" xfId="6238" xr:uid="{00000000-0005-0000-0000-00008E060000}"/>
    <cellStyle name="40% - Accent5 2 7 3 2" xfId="15564" xr:uid="{29EFE9AE-E5A9-422B-9CCA-7FB5D63B21B2}"/>
    <cellStyle name="40% - Accent5 2 7 4" xfId="11347" xr:uid="{9E4965F6-59BC-4A22-A567-6AF4C18A02E4}"/>
    <cellStyle name="40% - Accent5 2 8" xfId="2345" xr:uid="{00000000-0005-0000-0000-00008F060000}"/>
    <cellStyle name="40% - Accent5 2 8 2" xfId="6651" xr:uid="{00000000-0005-0000-0000-000090060000}"/>
    <cellStyle name="40% - Accent5 2 8 2 2" xfId="15977" xr:uid="{3D6B8BEC-5D1D-4D5F-8DA7-8336574D8D5F}"/>
    <cellStyle name="40% - Accent5 2 8 3" xfId="11760" xr:uid="{6DEB5201-75E6-4FA4-BD1D-6301204E47B3}"/>
    <cellStyle name="40% - Accent5 2 9" xfId="4585" xr:uid="{00000000-0005-0000-0000-000091060000}"/>
    <cellStyle name="40% - Accent5 2 9 2" xfId="13911" xr:uid="{529341C6-3F8B-4E50-B7A4-A3BC4E4709B4}"/>
    <cellStyle name="40% - Accent5 3" xfId="86" xr:uid="{00000000-0005-0000-0000-000092060000}"/>
    <cellStyle name="40% - Accent5 3 10" xfId="9698" xr:uid="{605180D5-71F8-4E75-B548-CFB95BCF6FD2}"/>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14E19CB7-EFFF-4014-8F2A-F8AC96FD4F76}"/>
    <cellStyle name="40% - Accent5 3 2 2 2 3" xfId="12258" xr:uid="{D1538AA7-7E76-408C-B244-0E124590EE50}"/>
    <cellStyle name="40% - Accent5 3 2 2 3" xfId="5004" xr:uid="{00000000-0005-0000-0000-000097060000}"/>
    <cellStyle name="40% - Accent5 3 2 2 3 2" xfId="14330" xr:uid="{313DA63F-6266-4C35-9B0A-6EB5A9EBF5CA}"/>
    <cellStyle name="40% - Accent5 3 2 2 4" xfId="9502" xr:uid="{96903B0D-DCFE-4149-8088-461BCB03A73B}"/>
    <cellStyle name="40% - Accent5 3 2 2 5" xfId="10113" xr:uid="{9E2CA50A-B2C9-46F3-BEA0-F401E590C86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600AA95E-1CF7-4722-8393-D79FCBAAB87D}"/>
    <cellStyle name="40% - Accent5 3 2 3 2 3" xfId="12671" xr:uid="{243F0BC8-4B1C-4F77-9931-76E5093C7598}"/>
    <cellStyle name="40% - Accent5 3 2 3 3" xfId="5417" xr:uid="{00000000-0005-0000-0000-00009B060000}"/>
    <cellStyle name="40% - Accent5 3 2 3 3 2" xfId="14743" xr:uid="{D34F2561-A540-4EBF-A929-D9C05FBB7CAB}"/>
    <cellStyle name="40% - Accent5 3 2 3 4" xfId="10526" xr:uid="{5DB63E09-B15F-4750-B961-767F376C59D1}"/>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28F35A93-852E-486E-8049-19887EFC5984}"/>
    <cellStyle name="40% - Accent5 3 2 4 2 3" xfId="13084" xr:uid="{608CF3D1-2F46-4195-905D-EB8D1EC5D65A}"/>
    <cellStyle name="40% - Accent5 3 2 4 3" xfId="5830" xr:uid="{00000000-0005-0000-0000-00009F060000}"/>
    <cellStyle name="40% - Accent5 3 2 4 3 2" xfId="15156" xr:uid="{ACDAA8C4-5AEA-47CD-9A5E-C42EDBDEA493}"/>
    <cellStyle name="40% - Accent5 3 2 4 4" xfId="10939" xr:uid="{DEF38691-6570-457E-A450-8D5B6B811FC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2E22C3D4-F7CF-4E5E-9B36-66697C82F15E}"/>
    <cellStyle name="40% - Accent5 3 2 5 2 3" xfId="13497" xr:uid="{F06B5563-0752-4CA3-8F85-B33893D4AA27}"/>
    <cellStyle name="40% - Accent5 3 2 5 3" xfId="6243" xr:uid="{00000000-0005-0000-0000-0000A3060000}"/>
    <cellStyle name="40% - Accent5 3 2 5 3 2" xfId="15569" xr:uid="{D2993CA1-E9E1-489F-AB3E-B6445D140F7C}"/>
    <cellStyle name="40% - Accent5 3 2 5 4" xfId="11352" xr:uid="{5638B735-6B66-40F4-BD6C-BE5B6DD20768}"/>
    <cellStyle name="40% - Accent5 3 2 6" xfId="2350" xr:uid="{00000000-0005-0000-0000-0000A4060000}"/>
    <cellStyle name="40% - Accent5 3 2 6 2" xfId="6656" xr:uid="{00000000-0005-0000-0000-0000A5060000}"/>
    <cellStyle name="40% - Accent5 3 2 6 2 2" xfId="15982" xr:uid="{5395EC65-7A7D-429D-B00B-F48763B37322}"/>
    <cellStyle name="40% - Accent5 3 2 6 3" xfId="11765" xr:uid="{415BFDDC-F26B-452F-8CC0-F23EEC843309}"/>
    <cellStyle name="40% - Accent5 3 2 7" xfId="4590" xr:uid="{00000000-0005-0000-0000-0000A6060000}"/>
    <cellStyle name="40% - Accent5 3 2 7 2" xfId="13916" xr:uid="{25BF5885-EC37-453B-8399-5C8816E746CB}"/>
    <cellStyle name="40% - Accent5 3 2 8" xfId="9077" xr:uid="{8842DD15-54E4-487D-B492-3A505722387C}"/>
    <cellStyle name="40% - Accent5 3 2 9" xfId="9699" xr:uid="{90B5F539-8486-414D-B3DD-AF718B530EBD}"/>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654A510F-F72E-4E12-9410-2E6C1DE6BB81}"/>
    <cellStyle name="40% - Accent5 3 3 2 3" xfId="12257" xr:uid="{FC56BF3B-1E6D-4F82-BE0A-8611F6EE7EBA}"/>
    <cellStyle name="40% - Accent5 3 3 3" xfId="5003" xr:uid="{00000000-0005-0000-0000-0000AA060000}"/>
    <cellStyle name="40% - Accent5 3 3 3 2" xfId="14329" xr:uid="{E23AF8D5-BDF4-4584-82FA-2A8C9CAC1F4F}"/>
    <cellStyle name="40% - Accent5 3 3 4" xfId="9295" xr:uid="{0D42C89E-252E-426A-8E1F-7D3AD6B9FE55}"/>
    <cellStyle name="40% - Accent5 3 3 5" xfId="10112" xr:uid="{1F8DE04D-F522-4147-B5D6-CE1484EAA258}"/>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5653D031-F45A-4A6B-AB4C-17FCBC7600D2}"/>
    <cellStyle name="40% - Accent5 3 4 2 3" xfId="12670" xr:uid="{61730D46-BDDB-4B88-8F2E-D11F2FCE0610}"/>
    <cellStyle name="40% - Accent5 3 4 3" xfId="5416" xr:uid="{00000000-0005-0000-0000-0000AE060000}"/>
    <cellStyle name="40% - Accent5 3 4 3 2" xfId="14742" xr:uid="{D5B82730-402B-4CD8-B6C3-1DDA0CB4CCDF}"/>
    <cellStyle name="40% - Accent5 3 4 4" xfId="10525" xr:uid="{29EFABA0-8D7B-4B11-B5A8-A0998FF2E2F2}"/>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068731AD-1E2D-46B8-99B3-039DF1E82C6D}"/>
    <cellStyle name="40% - Accent5 3 5 2 3" xfId="13083" xr:uid="{EC4193DF-F593-442E-BFDE-8952A9AA8B15}"/>
    <cellStyle name="40% - Accent5 3 5 3" xfId="5829" xr:uid="{00000000-0005-0000-0000-0000B2060000}"/>
    <cellStyle name="40% - Accent5 3 5 3 2" xfId="15155" xr:uid="{6FE259C4-A085-4D94-9158-1B03B4BB5059}"/>
    <cellStyle name="40% - Accent5 3 5 4" xfId="10938" xr:uid="{9F88AC67-A479-41C3-A2E3-74849E695C97}"/>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FA20045A-2B84-4821-B072-7D0046BFE377}"/>
    <cellStyle name="40% - Accent5 3 6 2 3" xfId="13496" xr:uid="{67583212-7CAD-47DB-AE2A-3F92B564B5FB}"/>
    <cellStyle name="40% - Accent5 3 6 3" xfId="6242" xr:uid="{00000000-0005-0000-0000-0000B6060000}"/>
    <cellStyle name="40% - Accent5 3 6 3 2" xfId="15568" xr:uid="{21E2645D-1551-48C7-8A20-7C0BBA72C9E8}"/>
    <cellStyle name="40% - Accent5 3 6 4" xfId="11351" xr:uid="{04478F04-8437-478A-83E5-C007A7F7733A}"/>
    <cellStyle name="40% - Accent5 3 7" xfId="2349" xr:uid="{00000000-0005-0000-0000-0000B7060000}"/>
    <cellStyle name="40% - Accent5 3 7 2" xfId="6655" xr:uid="{00000000-0005-0000-0000-0000B8060000}"/>
    <cellStyle name="40% - Accent5 3 7 2 2" xfId="15981" xr:uid="{AC07D101-9635-4CED-927E-BFA6859BA864}"/>
    <cellStyle name="40% - Accent5 3 7 3" xfId="11764" xr:uid="{15914EEE-54ED-4408-8226-4B0B9B0DC597}"/>
    <cellStyle name="40% - Accent5 3 8" xfId="4589" xr:uid="{00000000-0005-0000-0000-0000B9060000}"/>
    <cellStyle name="40% - Accent5 3 8 2" xfId="13915" xr:uid="{A5972269-3A86-45F9-9A29-5CFD5151FF2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8464BBB7-1573-4C34-A091-3C2DCD85CF2D}"/>
    <cellStyle name="40% - Accent5 4 2 2 3" xfId="12259" xr:uid="{56FE14DD-B141-4995-8819-29E2C8B14FCF}"/>
    <cellStyle name="40% - Accent5 4 2 3" xfId="5005" xr:uid="{00000000-0005-0000-0000-0000BE060000}"/>
    <cellStyle name="40% - Accent5 4 2 3 2" xfId="14331" xr:uid="{A5D7063E-7E4C-4FC6-82A6-B14941C464DF}"/>
    <cellStyle name="40% - Accent5 4 2 4" xfId="9381" xr:uid="{6D86932C-AFC4-4FF0-967D-0F56E90E02E1}"/>
    <cellStyle name="40% - Accent5 4 2 5" xfId="10114" xr:uid="{A3AFF734-C56E-41E1-BD8C-A56DF0744423}"/>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2F622DC5-6F14-49E1-A591-F5F5EE5A2517}"/>
    <cellStyle name="40% - Accent5 4 3 2 3" xfId="12672" xr:uid="{BC233B2E-622A-4627-B759-D1FFEB9D5117}"/>
    <cellStyle name="40% - Accent5 4 3 3" xfId="5418" xr:uid="{00000000-0005-0000-0000-0000C2060000}"/>
    <cellStyle name="40% - Accent5 4 3 3 2" xfId="14744" xr:uid="{BAD4C5AD-0B50-45F3-8E30-7CF7EE98183A}"/>
    <cellStyle name="40% - Accent5 4 3 4" xfId="10527" xr:uid="{2B033A59-807F-4017-A1AA-66B2F1B89412}"/>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A0A22E89-7026-4329-B46F-AAE5F0EBC32E}"/>
    <cellStyle name="40% - Accent5 4 4 2 3" xfId="13085" xr:uid="{221B0C47-2DD1-41B6-9ACD-EDF9286B64A8}"/>
    <cellStyle name="40% - Accent5 4 4 3" xfId="5831" xr:uid="{00000000-0005-0000-0000-0000C6060000}"/>
    <cellStyle name="40% - Accent5 4 4 3 2" xfId="15157" xr:uid="{56ABF2C0-BDEF-4F24-A25A-A7C91A1A66EB}"/>
    <cellStyle name="40% - Accent5 4 4 4" xfId="10940" xr:uid="{2BC52956-5346-401A-B34F-F41FE87B88A1}"/>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ABF08B35-19EF-42AA-82E6-4435E311E5CB}"/>
    <cellStyle name="40% - Accent5 4 5 2 3" xfId="13498" xr:uid="{F49D9738-2D36-44A0-BC32-CFFB12326DA8}"/>
    <cellStyle name="40% - Accent5 4 5 3" xfId="6244" xr:uid="{00000000-0005-0000-0000-0000CA060000}"/>
    <cellStyle name="40% - Accent5 4 5 3 2" xfId="15570" xr:uid="{D582DDAF-18DF-4AE7-9ACE-CC167F497DE5}"/>
    <cellStyle name="40% - Accent5 4 5 4" xfId="11353" xr:uid="{C79428E4-5149-4819-BC1A-056305E7870E}"/>
    <cellStyle name="40% - Accent5 4 6" xfId="2351" xr:uid="{00000000-0005-0000-0000-0000CB060000}"/>
    <cellStyle name="40% - Accent5 4 6 2" xfId="6657" xr:uid="{00000000-0005-0000-0000-0000CC060000}"/>
    <cellStyle name="40% - Accent5 4 6 2 2" xfId="15983" xr:uid="{8A9AD156-8CC3-472E-AA42-CA859738D851}"/>
    <cellStyle name="40% - Accent5 4 6 3" xfId="11766" xr:uid="{A8422CA7-DA0A-494D-83F7-422149F2EBDE}"/>
    <cellStyle name="40% - Accent5 4 7" xfId="4591" xr:uid="{00000000-0005-0000-0000-0000CD060000}"/>
    <cellStyle name="40% - Accent5 4 7 2" xfId="13917" xr:uid="{E2CDD3B1-D4DA-48A6-B33A-B0E02D47B011}"/>
    <cellStyle name="40% - Accent5 4 8" xfId="8956" xr:uid="{20EBAEFE-DF5E-4B38-878B-CDA5BD3DABC1}"/>
    <cellStyle name="40% - Accent5 4 9" xfId="9700" xr:uid="{A9027798-E145-4D16-941E-540E855F9F95}"/>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636BE40A-DFE6-4BA7-BF3F-EE9CC8B7A24E}"/>
    <cellStyle name="40% - Accent5 5 2 3" xfId="12252" xr:uid="{6732B6B1-0C2D-406F-B2B4-B410352B2A6C}"/>
    <cellStyle name="40% - Accent5 5 3" xfId="4998" xr:uid="{00000000-0005-0000-0000-0000D1060000}"/>
    <cellStyle name="40% - Accent5 5 3 2" xfId="14324" xr:uid="{BC872350-7540-4510-8D88-DDC4769AFAF5}"/>
    <cellStyle name="40% - Accent5 5 4" xfId="9189" xr:uid="{AE9A155E-B06B-4FF1-8984-8F7810581B15}"/>
    <cellStyle name="40% - Accent5 5 5" xfId="10107" xr:uid="{CAFCA7DC-D424-472A-9F20-DA709E361F16}"/>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FF892145-B48A-48DF-B6E6-3515FC555884}"/>
    <cellStyle name="40% - Accent5 6 2 3" xfId="12665" xr:uid="{C0CF3120-072B-4443-8D5F-3B7CCFBA8A4F}"/>
    <cellStyle name="40% - Accent5 6 3" xfId="5411" xr:uid="{00000000-0005-0000-0000-0000D5060000}"/>
    <cellStyle name="40% - Accent5 6 3 2" xfId="14737" xr:uid="{CB20E682-BF10-456F-B6C8-05A998151533}"/>
    <cellStyle name="40% - Accent5 6 4" xfId="10520" xr:uid="{A43A8C5B-73CE-454C-BDCD-5CDB62BAFBC5}"/>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27BF8DC0-EBEA-4B02-BD13-3264852806DC}"/>
    <cellStyle name="40% - Accent5 7 2 3" xfId="13078" xr:uid="{A61F258E-E7F6-4946-9530-23EB116783E7}"/>
    <cellStyle name="40% - Accent5 7 3" xfId="5824" xr:uid="{00000000-0005-0000-0000-0000D9060000}"/>
    <cellStyle name="40% - Accent5 7 3 2" xfId="15150" xr:uid="{B8DDAA13-D91D-488B-A693-4EA502F6FC56}"/>
    <cellStyle name="40% - Accent5 7 4" xfId="10933" xr:uid="{4982AC11-E8B0-4CF0-A5CA-B32DB64A3BE3}"/>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CDE35862-3B65-4369-B414-097DF2581DC5}"/>
    <cellStyle name="40% - Accent5 8 2 3" xfId="13491" xr:uid="{18D1D0E7-2D44-4897-B344-D7FE2419E404}"/>
    <cellStyle name="40% - Accent5 8 3" xfId="6237" xr:uid="{00000000-0005-0000-0000-0000DD060000}"/>
    <cellStyle name="40% - Accent5 8 3 2" xfId="15563" xr:uid="{29CB4DCE-0A42-4717-B849-7218E6FE5262}"/>
    <cellStyle name="40% - Accent5 8 4" xfId="11346" xr:uid="{24FBAF5F-0F88-4833-B9BC-6EA72E5DFE0A}"/>
    <cellStyle name="40% - Accent5 9" xfId="2344" xr:uid="{00000000-0005-0000-0000-0000DE060000}"/>
    <cellStyle name="40% - Accent5 9 2" xfId="6650" xr:uid="{00000000-0005-0000-0000-0000DF060000}"/>
    <cellStyle name="40% - Accent5 9 2 2" xfId="15976" xr:uid="{D208C67E-B96B-48D8-9DE7-3073391C7EA5}"/>
    <cellStyle name="40% - Accent5 9 3" xfId="11759" xr:uid="{04E200F1-0496-42D8-928E-8C49A8D8A81C}"/>
    <cellStyle name="40% - Accent6" xfId="89" builtinId="51" customBuiltin="1"/>
    <cellStyle name="40% - Accent6 10" xfId="4592" xr:uid="{00000000-0005-0000-0000-0000E1060000}"/>
    <cellStyle name="40% - Accent6 10 2" xfId="13918" xr:uid="{DF6DA8DF-4346-4E54-BEE4-E994DEE96B50}"/>
    <cellStyle name="40% - Accent6 11" xfId="8769" xr:uid="{8369FE49-3815-490F-BF3A-3BEB88E35DFA}"/>
    <cellStyle name="40% - Accent6 12" xfId="9701" xr:uid="{CA959DAD-2685-460A-BA95-12B75BD5C172}"/>
    <cellStyle name="40% - Accent6 2" xfId="90" xr:uid="{00000000-0005-0000-0000-0000E2060000}"/>
    <cellStyle name="40% - Accent6 2 10" xfId="8803" xr:uid="{3530B69D-EB1D-41EA-A6FB-440FE4FE29AB}"/>
    <cellStyle name="40% - Accent6 2 11" xfId="9702" xr:uid="{4FDB8ADE-158E-4806-990C-4D8C72F3E32B}"/>
    <cellStyle name="40% - Accent6 2 2" xfId="91" xr:uid="{00000000-0005-0000-0000-0000E3060000}"/>
    <cellStyle name="40% - Accent6 2 2 10" xfId="9703" xr:uid="{2018A84E-3EF7-4998-8F99-B17F25BC0561}"/>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20ECA128-6432-4B92-A434-98423229BF9C}"/>
    <cellStyle name="40% - Accent6 2 2 2 2 2 3" xfId="12263" xr:uid="{327D1F3E-626C-48A5-91B4-70847009E284}"/>
    <cellStyle name="40% - Accent6 2 2 2 2 3" xfId="5009" xr:uid="{00000000-0005-0000-0000-0000E8060000}"/>
    <cellStyle name="40% - Accent6 2 2 2 2 3 2" xfId="14335" xr:uid="{752D19A4-5B6B-411D-AFDC-542BD355C3DD}"/>
    <cellStyle name="40% - Accent6 2 2 2 2 4" xfId="9538" xr:uid="{D1801D0B-FDF1-4C59-8DE2-DEC53081BC5D}"/>
    <cellStyle name="40% - Accent6 2 2 2 2 5" xfId="10118" xr:uid="{8BA9200A-018C-4182-AF07-D51C23D1D25E}"/>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41441B32-78BD-41C3-A421-3D4576978519}"/>
    <cellStyle name="40% - Accent6 2 2 2 3 2 3" xfId="12676" xr:uid="{5B2B4FEF-F082-4615-B976-32590B5FA54F}"/>
    <cellStyle name="40% - Accent6 2 2 2 3 3" xfId="5422" xr:uid="{00000000-0005-0000-0000-0000EC060000}"/>
    <cellStyle name="40% - Accent6 2 2 2 3 3 2" xfId="14748" xr:uid="{9C07BB2E-C496-404F-BEFA-0A926521E6CD}"/>
    <cellStyle name="40% - Accent6 2 2 2 3 4" xfId="10531" xr:uid="{14AD4E21-0D5E-4FB6-AAA9-DC89E9CB5649}"/>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81CE1F7A-D742-456E-AD32-E16CC40F83BD}"/>
    <cellStyle name="40% - Accent6 2 2 2 4 2 3" xfId="13089" xr:uid="{7EFF5A8F-B0E5-4AC9-BCF5-09D8ADDBD9BA}"/>
    <cellStyle name="40% - Accent6 2 2 2 4 3" xfId="5835" xr:uid="{00000000-0005-0000-0000-0000F0060000}"/>
    <cellStyle name="40% - Accent6 2 2 2 4 3 2" xfId="15161" xr:uid="{30A4F5F0-5007-4E54-AB5F-E81E12D3ECFE}"/>
    <cellStyle name="40% - Accent6 2 2 2 4 4" xfId="10944" xr:uid="{26211D8A-F3CC-481E-8F78-4F2B748B82AD}"/>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CE1F8D60-D704-4558-A50D-A923E1009C99}"/>
    <cellStyle name="40% - Accent6 2 2 2 5 2 3" xfId="13502" xr:uid="{BDAB908F-944E-440E-A788-1E5E8BD74266}"/>
    <cellStyle name="40% - Accent6 2 2 2 5 3" xfId="6248" xr:uid="{00000000-0005-0000-0000-0000F4060000}"/>
    <cellStyle name="40% - Accent6 2 2 2 5 3 2" xfId="15574" xr:uid="{767851ED-657C-4AFF-BF76-3C94E2DA1F9C}"/>
    <cellStyle name="40% - Accent6 2 2 2 5 4" xfId="11357" xr:uid="{8EACB112-314F-42BC-A0D0-71DCE6C8D5CA}"/>
    <cellStyle name="40% - Accent6 2 2 2 6" xfId="2355" xr:uid="{00000000-0005-0000-0000-0000F5060000}"/>
    <cellStyle name="40% - Accent6 2 2 2 6 2" xfId="6661" xr:uid="{00000000-0005-0000-0000-0000F6060000}"/>
    <cellStyle name="40% - Accent6 2 2 2 6 2 2" xfId="15987" xr:uid="{F702E331-A765-4046-9959-1089A0D124FB}"/>
    <cellStyle name="40% - Accent6 2 2 2 6 3" xfId="11770" xr:uid="{B78B66BB-3B0F-4B40-9961-9CC90DE710F0}"/>
    <cellStyle name="40% - Accent6 2 2 2 7" xfId="4595" xr:uid="{00000000-0005-0000-0000-0000F7060000}"/>
    <cellStyle name="40% - Accent6 2 2 2 7 2" xfId="13921" xr:uid="{705ABF5E-5D8F-42B2-A964-E1F7455354AB}"/>
    <cellStyle name="40% - Accent6 2 2 2 8" xfId="9113" xr:uid="{D9373B4A-E1DA-437A-874A-FCE4D00708EB}"/>
    <cellStyle name="40% - Accent6 2 2 2 9" xfId="9704" xr:uid="{E4DD979F-3D79-4452-8322-3A0D41F6E8AD}"/>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D3BADB20-7A87-4336-B561-230A26F9EDEF}"/>
    <cellStyle name="40% - Accent6 2 2 3 2 3" xfId="12262" xr:uid="{444DE757-689B-4B12-A743-D8DFE79EE13E}"/>
    <cellStyle name="40% - Accent6 2 2 3 3" xfId="5008" xr:uid="{00000000-0005-0000-0000-0000FB060000}"/>
    <cellStyle name="40% - Accent6 2 2 3 3 2" xfId="14334" xr:uid="{DC9A6A7C-AEF3-4BB0-9042-175321FACDBE}"/>
    <cellStyle name="40% - Accent6 2 2 3 4" xfId="9331" xr:uid="{223B62DA-AA8A-4703-B6D5-D6AA8918B034}"/>
    <cellStyle name="40% - Accent6 2 2 3 5" xfId="10117" xr:uid="{5DB5F1F3-F179-4619-A3D8-155D7F2F411A}"/>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416DF197-4191-440B-8BC6-2ECDF2A517DD}"/>
    <cellStyle name="40% - Accent6 2 2 4 2 3" xfId="12675" xr:uid="{10E0C23F-1793-4579-B14F-63E82DCEFCD1}"/>
    <cellStyle name="40% - Accent6 2 2 4 3" xfId="5421" xr:uid="{00000000-0005-0000-0000-0000FF060000}"/>
    <cellStyle name="40% - Accent6 2 2 4 3 2" xfId="14747" xr:uid="{FDD24654-3DC8-4DCC-832E-3562A40CF754}"/>
    <cellStyle name="40% - Accent6 2 2 4 4" xfId="10530" xr:uid="{BC7A4F27-FEC0-445F-B048-EB4AA5C677A1}"/>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2DF786B6-952A-4BDF-8FBE-49E2AC1086AC}"/>
    <cellStyle name="40% - Accent6 2 2 5 2 3" xfId="13088" xr:uid="{1FD65FAB-39A6-4C16-9B5A-BEA4862F7512}"/>
    <cellStyle name="40% - Accent6 2 2 5 3" xfId="5834" xr:uid="{00000000-0005-0000-0000-000003070000}"/>
    <cellStyle name="40% - Accent6 2 2 5 3 2" xfId="15160" xr:uid="{8381BF11-65E9-441D-B67A-966CAD471A99}"/>
    <cellStyle name="40% - Accent6 2 2 5 4" xfId="10943" xr:uid="{1237336A-1A13-4C14-9DFD-EB577D63B2E4}"/>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4000182A-8B2B-4B02-815C-1F4DC1682DA8}"/>
    <cellStyle name="40% - Accent6 2 2 6 2 3" xfId="13501" xr:uid="{41B658C0-0B2C-49A3-BB33-CBD4B2C58A45}"/>
    <cellStyle name="40% - Accent6 2 2 6 3" xfId="6247" xr:uid="{00000000-0005-0000-0000-000007070000}"/>
    <cellStyle name="40% - Accent6 2 2 6 3 2" xfId="15573" xr:uid="{C51FE799-FBC0-49A9-88E0-14091A738C49}"/>
    <cellStyle name="40% - Accent6 2 2 6 4" xfId="11356" xr:uid="{14D5F912-4A99-4BB8-8460-D1B87D531A29}"/>
    <cellStyle name="40% - Accent6 2 2 7" xfId="2354" xr:uid="{00000000-0005-0000-0000-000008070000}"/>
    <cellStyle name="40% - Accent6 2 2 7 2" xfId="6660" xr:uid="{00000000-0005-0000-0000-000009070000}"/>
    <cellStyle name="40% - Accent6 2 2 7 2 2" xfId="15986" xr:uid="{5B50607A-4A60-4DA7-995E-D9397AB1DC85}"/>
    <cellStyle name="40% - Accent6 2 2 7 3" xfId="11769" xr:uid="{43B40E68-D185-4DEC-9372-FC632A9CB8C1}"/>
    <cellStyle name="40% - Accent6 2 2 8" xfId="4594" xr:uid="{00000000-0005-0000-0000-00000A070000}"/>
    <cellStyle name="40% - Accent6 2 2 8 2" xfId="13920" xr:uid="{5CB1BFB9-9594-4D90-82AE-8ABE4088F6BE}"/>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37C82932-D2FA-4F7C-8620-9239AA9DD2D3}"/>
    <cellStyle name="40% - Accent6 2 3 2 2 3" xfId="12264" xr:uid="{9C1AA32E-0C12-4DCF-AB89-58038403218A}"/>
    <cellStyle name="40% - Accent6 2 3 2 3" xfId="5010" xr:uid="{00000000-0005-0000-0000-00000F070000}"/>
    <cellStyle name="40% - Accent6 2 3 2 3 2" xfId="14336" xr:uid="{E43E24A4-F82C-40E9-ACBE-53485FE42547}"/>
    <cellStyle name="40% - Accent6 2 3 2 4" xfId="9435" xr:uid="{36535681-1736-4584-8CB6-F8F38C9E0E5B}"/>
    <cellStyle name="40% - Accent6 2 3 2 5" xfId="10119" xr:uid="{8994B74A-EA40-42A1-8F71-D6D507F1E558}"/>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F46ADA84-E7C7-40EC-971E-52FA97ECD50F}"/>
    <cellStyle name="40% - Accent6 2 3 3 2 3" xfId="12677" xr:uid="{0E386B08-7492-45F8-B512-A8BCD260E06D}"/>
    <cellStyle name="40% - Accent6 2 3 3 3" xfId="5423" xr:uid="{00000000-0005-0000-0000-000013070000}"/>
    <cellStyle name="40% - Accent6 2 3 3 3 2" xfId="14749" xr:uid="{3D5138E0-6553-4BC5-940C-5C333979B369}"/>
    <cellStyle name="40% - Accent6 2 3 3 4" xfId="10532" xr:uid="{EBFCA7D7-4B0B-49CE-A1D1-669C16E98475}"/>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5AAAAF81-9CBB-48D0-BD10-B0FC9B9FCE74}"/>
    <cellStyle name="40% - Accent6 2 3 4 2 3" xfId="13090" xr:uid="{4D282D2E-1249-4E6C-AF0D-332B4415F940}"/>
    <cellStyle name="40% - Accent6 2 3 4 3" xfId="5836" xr:uid="{00000000-0005-0000-0000-000017070000}"/>
    <cellStyle name="40% - Accent6 2 3 4 3 2" xfId="15162" xr:uid="{25AF3A9C-D377-4120-9441-F4938FC48364}"/>
    <cellStyle name="40% - Accent6 2 3 4 4" xfId="10945" xr:uid="{A58B5D8B-712F-4E1A-A6A7-098E26945CA6}"/>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210ED100-CC67-4F80-BB55-A188C8A9AD21}"/>
    <cellStyle name="40% - Accent6 2 3 5 2 3" xfId="13503" xr:uid="{C1A6CB6A-E825-4760-A680-7ED950B0485C}"/>
    <cellStyle name="40% - Accent6 2 3 5 3" xfId="6249" xr:uid="{00000000-0005-0000-0000-00001B070000}"/>
    <cellStyle name="40% - Accent6 2 3 5 3 2" xfId="15575" xr:uid="{386E6B2B-FD68-45B9-96CC-C83B5C870466}"/>
    <cellStyle name="40% - Accent6 2 3 5 4" xfId="11358" xr:uid="{53BBE86A-6F4B-4D9C-8560-6E6BBF41D67E}"/>
    <cellStyle name="40% - Accent6 2 3 6" xfId="2356" xr:uid="{00000000-0005-0000-0000-00001C070000}"/>
    <cellStyle name="40% - Accent6 2 3 6 2" xfId="6662" xr:uid="{00000000-0005-0000-0000-00001D070000}"/>
    <cellStyle name="40% - Accent6 2 3 6 2 2" xfId="15988" xr:uid="{ADF7A618-D462-44ED-BAEF-A08EF4D1E6CA}"/>
    <cellStyle name="40% - Accent6 2 3 6 3" xfId="11771" xr:uid="{C0966774-B321-45A2-B000-7DDE1F7439C3}"/>
    <cellStyle name="40% - Accent6 2 3 7" xfId="4596" xr:uid="{00000000-0005-0000-0000-00001E070000}"/>
    <cellStyle name="40% - Accent6 2 3 7 2" xfId="13922" xr:uid="{C738462E-C54C-48BB-9BBF-7356C8B2510F}"/>
    <cellStyle name="40% - Accent6 2 3 8" xfId="9010" xr:uid="{63E1B5F8-FE5F-441F-B768-94B1D98CB2B1}"/>
    <cellStyle name="40% - Accent6 2 3 9" xfId="9705" xr:uid="{78E4D2E2-3A0B-472F-BA0C-4AABF086861E}"/>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11592A87-A611-40EA-AEAA-5364C4F9ECC7}"/>
    <cellStyle name="40% - Accent6 2 4 2 3" xfId="12261" xr:uid="{1E18C319-E8F1-4B87-819C-6D7D4C3B4C83}"/>
    <cellStyle name="40% - Accent6 2 4 3" xfId="5007" xr:uid="{00000000-0005-0000-0000-000022070000}"/>
    <cellStyle name="40% - Accent6 2 4 3 2" xfId="14333" xr:uid="{47356520-30F6-4E7F-9521-E0FBB25F4F7B}"/>
    <cellStyle name="40% - Accent6 2 4 4" xfId="9227" xr:uid="{61BC3AC1-FAE9-47DF-8143-7EECE05FF8D3}"/>
    <cellStyle name="40% - Accent6 2 4 5" xfId="10116" xr:uid="{FD9C14BD-1577-4447-9A71-23500434ED28}"/>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A501BE1D-3346-4B67-BA6E-C0EBADD3768F}"/>
    <cellStyle name="40% - Accent6 2 5 2 3" xfId="12674" xr:uid="{94282CD4-75DE-4EC0-A9D3-55AF8CA2AA9E}"/>
    <cellStyle name="40% - Accent6 2 5 3" xfId="5420" xr:uid="{00000000-0005-0000-0000-000026070000}"/>
    <cellStyle name="40% - Accent6 2 5 3 2" xfId="14746" xr:uid="{A568421C-526F-40CC-8043-48DA2286B0C8}"/>
    <cellStyle name="40% - Accent6 2 5 4" xfId="10529" xr:uid="{5EDE42A9-1A36-402F-8E74-238590FC2312}"/>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1E2F3A70-C674-4D18-87CC-2428387ED737}"/>
    <cellStyle name="40% - Accent6 2 6 2 3" xfId="13087" xr:uid="{D8F14A43-5C01-4113-845A-76BDC3103648}"/>
    <cellStyle name="40% - Accent6 2 6 3" xfId="5833" xr:uid="{00000000-0005-0000-0000-00002A070000}"/>
    <cellStyle name="40% - Accent6 2 6 3 2" xfId="15159" xr:uid="{9110F877-994A-40A8-A337-75A4FE6B59CF}"/>
    <cellStyle name="40% - Accent6 2 6 4" xfId="10942" xr:uid="{33BB71AF-143B-4D38-8EE5-968583B80A7B}"/>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5F3BD042-CFB2-4477-8EE2-01015C1138CD}"/>
    <cellStyle name="40% - Accent6 2 7 2 3" xfId="13500" xr:uid="{C3D33E29-8C9B-446F-8F5B-2A526F0E6E31}"/>
    <cellStyle name="40% - Accent6 2 7 3" xfId="6246" xr:uid="{00000000-0005-0000-0000-00002E070000}"/>
    <cellStyle name="40% - Accent6 2 7 3 2" xfId="15572" xr:uid="{76ADBF21-41EB-43CE-9605-A7AA070598B1}"/>
    <cellStyle name="40% - Accent6 2 7 4" xfId="11355" xr:uid="{902E7FED-4896-4709-85B5-9ECC52D63ED3}"/>
    <cellStyle name="40% - Accent6 2 8" xfId="2353" xr:uid="{00000000-0005-0000-0000-00002F070000}"/>
    <cellStyle name="40% - Accent6 2 8 2" xfId="6659" xr:uid="{00000000-0005-0000-0000-000030070000}"/>
    <cellStyle name="40% - Accent6 2 8 2 2" xfId="15985" xr:uid="{34CC6BC3-796A-494E-A2E3-CF2E3EB1D426}"/>
    <cellStyle name="40% - Accent6 2 8 3" xfId="11768" xr:uid="{F32C46A3-8A2E-40D6-8775-696CA1DD6215}"/>
    <cellStyle name="40% - Accent6 2 9" xfId="4593" xr:uid="{00000000-0005-0000-0000-000031070000}"/>
    <cellStyle name="40% - Accent6 2 9 2" xfId="13919" xr:uid="{CDA3A2E3-C889-4ADD-B200-F911F78A006B}"/>
    <cellStyle name="40% - Accent6 3" xfId="94" xr:uid="{00000000-0005-0000-0000-000032070000}"/>
    <cellStyle name="40% - Accent6 3 10" xfId="9706" xr:uid="{9AC3DBC0-46ED-48A3-B7BD-DD824EF009C6}"/>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D0318CF5-BDC1-4E9E-87A5-4DD2FBA00F9F}"/>
    <cellStyle name="40% - Accent6 3 2 2 2 3" xfId="12266" xr:uid="{A492AC93-97C0-47E6-8EFA-B2FEEE3EAE34}"/>
    <cellStyle name="40% - Accent6 3 2 2 3" xfId="5012" xr:uid="{00000000-0005-0000-0000-000037070000}"/>
    <cellStyle name="40% - Accent6 3 2 2 3 2" xfId="14338" xr:uid="{F1B098EC-292C-4563-ABCE-E002D65C6659}"/>
    <cellStyle name="40% - Accent6 3 2 2 4" xfId="9504" xr:uid="{23E46585-FD8F-4BA3-8B65-284D6884E4FD}"/>
    <cellStyle name="40% - Accent6 3 2 2 5" xfId="10121" xr:uid="{131A3FDE-3062-4874-B9C4-B1D869DDE4E4}"/>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DD3FF48B-CB1C-421B-9505-29C67A1BA0B5}"/>
    <cellStyle name="40% - Accent6 3 2 3 2 3" xfId="12679" xr:uid="{56918B31-4C30-467A-890E-5794216205A8}"/>
    <cellStyle name="40% - Accent6 3 2 3 3" xfId="5425" xr:uid="{00000000-0005-0000-0000-00003B070000}"/>
    <cellStyle name="40% - Accent6 3 2 3 3 2" xfId="14751" xr:uid="{DBA00F42-B087-433C-AE30-3972CBFCDC6F}"/>
    <cellStyle name="40% - Accent6 3 2 3 4" xfId="10534" xr:uid="{B1B4D482-B882-47E8-AB60-086183EB9B71}"/>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4C3AFD23-88B8-4298-8820-298818843790}"/>
    <cellStyle name="40% - Accent6 3 2 4 2 3" xfId="13092" xr:uid="{2D670F6C-8161-4E1F-B06B-7D48CF023D93}"/>
    <cellStyle name="40% - Accent6 3 2 4 3" xfId="5838" xr:uid="{00000000-0005-0000-0000-00003F070000}"/>
    <cellStyle name="40% - Accent6 3 2 4 3 2" xfId="15164" xr:uid="{2956DA72-FB77-473C-8943-6A7ACC94B0A4}"/>
    <cellStyle name="40% - Accent6 3 2 4 4" xfId="10947" xr:uid="{887E474C-8BB6-4AB7-AC5E-B2A19A74A93C}"/>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C1F4C039-4918-46C5-AC3D-64F0CE882FBA}"/>
    <cellStyle name="40% - Accent6 3 2 5 2 3" xfId="13505" xr:uid="{BDDE36E5-DC58-43ED-BB9A-B6E341383C1E}"/>
    <cellStyle name="40% - Accent6 3 2 5 3" xfId="6251" xr:uid="{00000000-0005-0000-0000-000043070000}"/>
    <cellStyle name="40% - Accent6 3 2 5 3 2" xfId="15577" xr:uid="{31D73A15-18C2-41F8-8BD7-6B37C9440332}"/>
    <cellStyle name="40% - Accent6 3 2 5 4" xfId="11360" xr:uid="{F12EA0B3-C6B8-4CFD-984A-0F5FDA256C8E}"/>
    <cellStyle name="40% - Accent6 3 2 6" xfId="2358" xr:uid="{00000000-0005-0000-0000-000044070000}"/>
    <cellStyle name="40% - Accent6 3 2 6 2" xfId="6664" xr:uid="{00000000-0005-0000-0000-000045070000}"/>
    <cellStyle name="40% - Accent6 3 2 6 2 2" xfId="15990" xr:uid="{4669B48E-7401-4925-926D-47967A421995}"/>
    <cellStyle name="40% - Accent6 3 2 6 3" xfId="11773" xr:uid="{10D5F438-0C70-410B-8DAE-C03BDE71C9C9}"/>
    <cellStyle name="40% - Accent6 3 2 7" xfId="4598" xr:uid="{00000000-0005-0000-0000-000046070000}"/>
    <cellStyle name="40% - Accent6 3 2 7 2" xfId="13924" xr:uid="{AFDA5F4E-0566-4B5D-A4E5-C3BF36185674}"/>
    <cellStyle name="40% - Accent6 3 2 8" xfId="9079" xr:uid="{7FA93E2E-699F-4676-8533-A3CC5F80D807}"/>
    <cellStyle name="40% - Accent6 3 2 9" xfId="9707" xr:uid="{695C7AA3-4BE5-40E0-A812-3E1C08B96424}"/>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F0095D86-41D3-4AD0-9222-C0B0108AE31F}"/>
    <cellStyle name="40% - Accent6 3 3 2 3" xfId="12265" xr:uid="{538926B1-0D2A-4C00-84A6-9B488FD9F89C}"/>
    <cellStyle name="40% - Accent6 3 3 3" xfId="5011" xr:uid="{00000000-0005-0000-0000-00004A070000}"/>
    <cellStyle name="40% - Accent6 3 3 3 2" xfId="14337" xr:uid="{D1FB53F4-FF43-420F-9C50-0EBBC8838B39}"/>
    <cellStyle name="40% - Accent6 3 3 4" xfId="9297" xr:uid="{1226E28F-09E7-4580-8D19-7F14AC1CB4B3}"/>
    <cellStyle name="40% - Accent6 3 3 5" xfId="10120" xr:uid="{8723AC7B-4BD4-4426-99A3-6E4A66481A18}"/>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65207CFA-0E08-4E24-B1F0-50F094533179}"/>
    <cellStyle name="40% - Accent6 3 4 2 3" xfId="12678" xr:uid="{7681CF8D-9D02-48C8-A26E-F8CD1EEDEE63}"/>
    <cellStyle name="40% - Accent6 3 4 3" xfId="5424" xr:uid="{00000000-0005-0000-0000-00004E070000}"/>
    <cellStyle name="40% - Accent6 3 4 3 2" xfId="14750" xr:uid="{8B336E67-5466-490C-96E8-B982B722AC0E}"/>
    <cellStyle name="40% - Accent6 3 4 4" xfId="10533" xr:uid="{A4B4E258-0111-4D90-B10C-CA5BC0CD794E}"/>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B0ADF00B-D104-4E4A-BB46-4C92C51C58AA}"/>
    <cellStyle name="40% - Accent6 3 5 2 3" xfId="13091" xr:uid="{0150D188-6DAB-40CC-9848-D13C2EB22BFC}"/>
    <cellStyle name="40% - Accent6 3 5 3" xfId="5837" xr:uid="{00000000-0005-0000-0000-000052070000}"/>
    <cellStyle name="40% - Accent6 3 5 3 2" xfId="15163" xr:uid="{965AF68F-5015-4C4A-A858-DA488F18D962}"/>
    <cellStyle name="40% - Accent6 3 5 4" xfId="10946" xr:uid="{A954F2D6-537E-4ABC-84A8-38BC7290F865}"/>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9CA871B4-EC0E-408A-9C8F-1B5490AB371B}"/>
    <cellStyle name="40% - Accent6 3 6 2 3" xfId="13504" xr:uid="{F6647215-2894-4408-BD40-A45A4FF4F131}"/>
    <cellStyle name="40% - Accent6 3 6 3" xfId="6250" xr:uid="{00000000-0005-0000-0000-000056070000}"/>
    <cellStyle name="40% - Accent6 3 6 3 2" xfId="15576" xr:uid="{45A8960E-BEA5-49F5-B11F-E804DD458B5C}"/>
    <cellStyle name="40% - Accent6 3 6 4" xfId="11359" xr:uid="{106F346A-DBD3-4FAD-AACD-7B7AA9D7902C}"/>
    <cellStyle name="40% - Accent6 3 7" xfId="2357" xr:uid="{00000000-0005-0000-0000-000057070000}"/>
    <cellStyle name="40% - Accent6 3 7 2" xfId="6663" xr:uid="{00000000-0005-0000-0000-000058070000}"/>
    <cellStyle name="40% - Accent6 3 7 2 2" xfId="15989" xr:uid="{E0B44C5D-16E9-41B6-9109-8BE2752DA67E}"/>
    <cellStyle name="40% - Accent6 3 7 3" xfId="11772" xr:uid="{76DBF901-C4C3-40AE-B602-DA65181BEDD8}"/>
    <cellStyle name="40% - Accent6 3 8" xfId="4597" xr:uid="{00000000-0005-0000-0000-000059070000}"/>
    <cellStyle name="40% - Accent6 3 8 2" xfId="13923" xr:uid="{8389D444-BDD1-4DE2-8453-3839A7704EB6}"/>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1C476555-BCAB-4D08-BBCB-6EC83B1BCED0}"/>
    <cellStyle name="40% - Accent6 4 2 2 3" xfId="12267" xr:uid="{C25B2013-4A98-4DD4-8A8E-3DF4262406F2}"/>
    <cellStyle name="40% - Accent6 4 2 3" xfId="5013" xr:uid="{00000000-0005-0000-0000-00005E070000}"/>
    <cellStyle name="40% - Accent6 4 2 3 2" xfId="14339" xr:uid="{3882BF34-7071-47A4-943C-1040219532CA}"/>
    <cellStyle name="40% - Accent6 4 2 4" xfId="9383" xr:uid="{07C7426F-B517-4815-A0BF-2BAE02B26B53}"/>
    <cellStyle name="40% - Accent6 4 2 5" xfId="10122" xr:uid="{CF5038EF-A3B7-45E5-B9B7-75E8B6127242}"/>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114A1BDB-5D44-4CED-A072-2FB77B08ACC1}"/>
    <cellStyle name="40% - Accent6 4 3 2 3" xfId="12680" xr:uid="{ED12C698-28A4-4268-802A-D01353A37168}"/>
    <cellStyle name="40% - Accent6 4 3 3" xfId="5426" xr:uid="{00000000-0005-0000-0000-000062070000}"/>
    <cellStyle name="40% - Accent6 4 3 3 2" xfId="14752" xr:uid="{41D999C8-3DFE-43C5-B8E7-19B0DC328632}"/>
    <cellStyle name="40% - Accent6 4 3 4" xfId="10535" xr:uid="{57BB54EB-7DDF-4B29-A8CC-3D40CC25A143}"/>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DE6BFBBA-4E3D-4A98-9898-053B70C2CC89}"/>
    <cellStyle name="40% - Accent6 4 4 2 3" xfId="13093" xr:uid="{9138935E-7A8A-4F14-ADFD-89C2406742FA}"/>
    <cellStyle name="40% - Accent6 4 4 3" xfId="5839" xr:uid="{00000000-0005-0000-0000-000066070000}"/>
    <cellStyle name="40% - Accent6 4 4 3 2" xfId="15165" xr:uid="{2008BDD5-82CC-4675-B453-DD21EB2616EB}"/>
    <cellStyle name="40% - Accent6 4 4 4" xfId="10948" xr:uid="{79A68A3A-63A3-4858-86FF-5637D6159F35}"/>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F5C7C699-93F6-4D88-8FBC-A93B47484338}"/>
    <cellStyle name="40% - Accent6 4 5 2 3" xfId="13506" xr:uid="{D2AC8534-9F42-465E-8B32-9F3B4804FF14}"/>
    <cellStyle name="40% - Accent6 4 5 3" xfId="6252" xr:uid="{00000000-0005-0000-0000-00006A070000}"/>
    <cellStyle name="40% - Accent6 4 5 3 2" xfId="15578" xr:uid="{ED0B3F09-15DC-4C56-8F7B-5ACE98362048}"/>
    <cellStyle name="40% - Accent6 4 5 4" xfId="11361" xr:uid="{F7FC2530-891F-4060-B7FB-431529CC3020}"/>
    <cellStyle name="40% - Accent6 4 6" xfId="2359" xr:uid="{00000000-0005-0000-0000-00006B070000}"/>
    <cellStyle name="40% - Accent6 4 6 2" xfId="6665" xr:uid="{00000000-0005-0000-0000-00006C070000}"/>
    <cellStyle name="40% - Accent6 4 6 2 2" xfId="15991" xr:uid="{40CE6CC9-0B4B-46AF-9EDB-D21C9580B758}"/>
    <cellStyle name="40% - Accent6 4 6 3" xfId="11774" xr:uid="{0879884D-1A1B-4316-804E-85C47B07CA4D}"/>
    <cellStyle name="40% - Accent6 4 7" xfId="4599" xr:uid="{00000000-0005-0000-0000-00006D070000}"/>
    <cellStyle name="40% - Accent6 4 7 2" xfId="13925" xr:uid="{F6427CAD-EE0A-47DB-B08D-843035BE2108}"/>
    <cellStyle name="40% - Accent6 4 8" xfId="8958" xr:uid="{058203D5-6D6D-4106-8D68-93F66B236239}"/>
    <cellStyle name="40% - Accent6 4 9" xfId="9708" xr:uid="{2C5DCBDA-5FA4-49BD-AB88-471E64E11F48}"/>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B6662032-C85B-4696-AE17-31C53681B030}"/>
    <cellStyle name="40% - Accent6 5 2 3" xfId="12260" xr:uid="{23214728-7FAC-4E78-86E1-E83F7BF601C4}"/>
    <cellStyle name="40% - Accent6 5 3" xfId="5006" xr:uid="{00000000-0005-0000-0000-000071070000}"/>
    <cellStyle name="40% - Accent6 5 3 2" xfId="14332" xr:uid="{150850BB-61F1-4B62-BD1F-EB9687050D67}"/>
    <cellStyle name="40% - Accent6 5 4" xfId="9192" xr:uid="{19661A88-B46A-4EF9-A9F3-4BCF8E242108}"/>
    <cellStyle name="40% - Accent6 5 5" xfId="10115" xr:uid="{5D60394F-CCFC-407E-B58C-3755C2D12F30}"/>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1E8EC052-268D-4A2B-BC9D-16334182EC7E}"/>
    <cellStyle name="40% - Accent6 6 2 3" xfId="12673" xr:uid="{44D06B3C-AE8F-4A55-844B-A62D8F5417F8}"/>
    <cellStyle name="40% - Accent6 6 3" xfId="5419" xr:uid="{00000000-0005-0000-0000-000075070000}"/>
    <cellStyle name="40% - Accent6 6 3 2" xfId="14745" xr:uid="{75D113CD-EE35-479D-9BCB-56EBF470E658}"/>
    <cellStyle name="40% - Accent6 6 4" xfId="10528" xr:uid="{15C3F54E-30BC-48FD-9F4E-AF13D0640E9B}"/>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CEF58BE0-08EB-4210-B4D1-8687DAEC7D77}"/>
    <cellStyle name="40% - Accent6 7 2 3" xfId="13086" xr:uid="{65686D48-F49C-4900-BAA1-019D37D9C9E3}"/>
    <cellStyle name="40% - Accent6 7 3" xfId="5832" xr:uid="{00000000-0005-0000-0000-000079070000}"/>
    <cellStyle name="40% - Accent6 7 3 2" xfId="15158" xr:uid="{B310163F-188E-48A3-861E-B2B85D5817F0}"/>
    <cellStyle name="40% - Accent6 7 4" xfId="10941" xr:uid="{AC33DDD3-76DB-49DA-B058-029AAFFED71E}"/>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33D04E02-1B2E-44E9-8018-0D6769C014AA}"/>
    <cellStyle name="40% - Accent6 8 2 3" xfId="13499" xr:uid="{1EB80607-B1D2-44DD-B54D-860EAA18BA32}"/>
    <cellStyle name="40% - Accent6 8 3" xfId="6245" xr:uid="{00000000-0005-0000-0000-00007D070000}"/>
    <cellStyle name="40% - Accent6 8 3 2" xfId="15571" xr:uid="{6E65BC66-D8DB-4F6C-8014-9162B0CCAD4A}"/>
    <cellStyle name="40% - Accent6 8 4" xfId="11354" xr:uid="{21733D0E-929E-4820-A6D4-F52640776FE3}"/>
    <cellStyle name="40% - Accent6 9" xfId="2352" xr:uid="{00000000-0005-0000-0000-00007E070000}"/>
    <cellStyle name="40% - Accent6 9 2" xfId="6658" xr:uid="{00000000-0005-0000-0000-00007F070000}"/>
    <cellStyle name="40% - Accent6 9 2 2" xfId="15984" xr:uid="{B74FD8E7-9C76-4D23-A32A-00E008413818}"/>
    <cellStyle name="40% - Accent6 9 3" xfId="11767" xr:uid="{28A4D005-4828-4884-9CDC-111AAFF4C0B2}"/>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B0F57EA6-0CC5-43DC-BB21-44A1EE0B11EC}"/>
    <cellStyle name="Comma 4 2 2 2 10 3" xfId="12092" xr:uid="{49C7A480-B5C9-4452-914E-90771A91E9D1}"/>
    <cellStyle name="Comma 4 2 2 2 11" xfId="4600" xr:uid="{00000000-0005-0000-0000-0000A3070000}"/>
    <cellStyle name="Comma 4 2 2 2 11 2" xfId="13926" xr:uid="{388AE03E-30B5-453D-B42E-E4E8D6853753}"/>
    <cellStyle name="Comma 4 2 2 2 12" xfId="8806" xr:uid="{6C773D0B-D2E3-4A8C-B041-8DA2843B9E25}"/>
    <cellStyle name="Comma 4 2 2 2 13" xfId="9709" xr:uid="{57C8E3E4-E1A6-44F2-A73E-52B2F3687185}"/>
    <cellStyle name="Comma 4 2 2 2 2" xfId="129" xr:uid="{00000000-0005-0000-0000-0000A4070000}"/>
    <cellStyle name="Comma 4 2 2 2 2 10" xfId="4601" xr:uid="{00000000-0005-0000-0000-0000A5070000}"/>
    <cellStyle name="Comma 4 2 2 2 2 10 2" xfId="13927" xr:uid="{1F54757F-55D5-4E84-B8E0-F45070B87D13}"/>
    <cellStyle name="Comma 4 2 2 2 2 11" xfId="8909" xr:uid="{477FCE05-1F49-4658-A03C-A8A5E7983C47}"/>
    <cellStyle name="Comma 4 2 2 2 2 12" xfId="9710" xr:uid="{548B31CF-8861-4494-8542-2FE81A736903}"/>
    <cellStyle name="Comma 4 2 2 2 2 2" xfId="130" xr:uid="{00000000-0005-0000-0000-0000A6070000}"/>
    <cellStyle name="Comma 4 2 2 2 2 2 10" xfId="9116" xr:uid="{7A07505D-6B4C-4086-90B5-B5D345FB7611}"/>
    <cellStyle name="Comma 4 2 2 2 2 2 11" xfId="9711" xr:uid="{CBEBF587-EC2D-4583-B4E2-67B3107217D9}"/>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9C557607-D234-4ABB-92BB-F0931BACBFE6}"/>
    <cellStyle name="Comma 4 2 2 2 2 2 2 2 3" xfId="12270" xr:uid="{39034E29-5E53-45F1-9F97-A21FA55733F1}"/>
    <cellStyle name="Comma 4 2 2 2 2 2 2 3" xfId="5016" xr:uid="{00000000-0005-0000-0000-0000AA070000}"/>
    <cellStyle name="Comma 4 2 2 2 2 2 2 3 2" xfId="14342" xr:uid="{89A78BD5-FA57-4DE7-B9FF-E5D4A8D57A5D}"/>
    <cellStyle name="Comma 4 2 2 2 2 2 2 4" xfId="9541" xr:uid="{21DC771E-83A2-48BA-BE40-3E9E8454DE28}"/>
    <cellStyle name="Comma 4 2 2 2 2 2 2 5" xfId="10125" xr:uid="{85314ED9-0803-469F-9E05-C539DB2D0604}"/>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2FBC2072-6A94-4919-B934-2DA8A99D4DE0}"/>
    <cellStyle name="Comma 4 2 2 2 2 2 3 2 3" xfId="12683" xr:uid="{73564B3A-6B27-4528-8EAF-1F9A295FC27F}"/>
    <cellStyle name="Comma 4 2 2 2 2 2 3 3" xfId="5429" xr:uid="{00000000-0005-0000-0000-0000AE070000}"/>
    <cellStyle name="Comma 4 2 2 2 2 2 3 3 2" xfId="14755" xr:uid="{EAAB12EC-5706-4BB1-A9B5-50FBE6E3FB37}"/>
    <cellStyle name="Comma 4 2 2 2 2 2 3 4" xfId="10538" xr:uid="{8986CD0D-5280-431B-8326-BCAB654F4F8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7DDF71C5-22E1-4079-BB15-DACFAA603983}"/>
    <cellStyle name="Comma 4 2 2 2 2 2 4 2 3" xfId="13096" xr:uid="{C7455896-9631-42C9-84B1-899795C31E2E}"/>
    <cellStyle name="Comma 4 2 2 2 2 2 4 3" xfId="5842" xr:uid="{00000000-0005-0000-0000-0000B2070000}"/>
    <cellStyle name="Comma 4 2 2 2 2 2 4 3 2" xfId="15168" xr:uid="{797E9CD7-966A-44E0-B087-FC8E4CAB6E12}"/>
    <cellStyle name="Comma 4 2 2 2 2 2 4 4" xfId="10951" xr:uid="{B9E061A7-3F42-4AF0-B2C4-55DEC1525E0E}"/>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3E67931E-F315-4D3A-B26C-BCF637598A94}"/>
    <cellStyle name="Comma 4 2 2 2 2 2 5 2 3" xfId="13509" xr:uid="{B9474049-CC3E-4ED9-866E-48B3BDBC4938}"/>
    <cellStyle name="Comma 4 2 2 2 2 2 5 3" xfId="6255" xr:uid="{00000000-0005-0000-0000-0000B6070000}"/>
    <cellStyle name="Comma 4 2 2 2 2 2 5 3 2" xfId="15581" xr:uid="{6088D5AA-4C44-417B-AA07-42517952037A}"/>
    <cellStyle name="Comma 4 2 2 2 2 2 5 4" xfId="11364" xr:uid="{19FA2765-010D-4F7D-B216-B08055ADFCEB}"/>
    <cellStyle name="Comma 4 2 2 2 2 2 6" xfId="2384" xr:uid="{00000000-0005-0000-0000-0000B7070000}"/>
    <cellStyle name="Comma 4 2 2 2 2 2 6 2" xfId="6668" xr:uid="{00000000-0005-0000-0000-0000B8070000}"/>
    <cellStyle name="Comma 4 2 2 2 2 2 6 2 2" xfId="15994" xr:uid="{E3274CAF-3E67-4368-89F2-6E034AC454A6}"/>
    <cellStyle name="Comma 4 2 2 2 2 2 6 3" xfId="11777" xr:uid="{29BF1A27-B6F5-4393-8FAA-AED21973B298}"/>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189913BA-B763-4AE8-8A25-749F43E83D04}"/>
    <cellStyle name="Comma 4 2 2 2 2 2 8 3" xfId="12094" xr:uid="{72AA2E69-34FD-4BD9-B403-8C86AE0756E0}"/>
    <cellStyle name="Comma 4 2 2 2 2 2 9" xfId="4602" xr:uid="{00000000-0005-0000-0000-0000BC070000}"/>
    <cellStyle name="Comma 4 2 2 2 2 2 9 2" xfId="13928" xr:uid="{90D62025-3F40-47B4-9C81-7CA587CC76A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5C53DC90-2573-41C5-9C4B-5D44A7218EA8}"/>
    <cellStyle name="Comma 4 2 2 2 2 3 2 3" xfId="12269" xr:uid="{925C9DBB-9E8B-40D2-B85F-A6B5D144EEC8}"/>
    <cellStyle name="Comma 4 2 2 2 2 3 3" xfId="5015" xr:uid="{00000000-0005-0000-0000-0000C0070000}"/>
    <cellStyle name="Comma 4 2 2 2 2 3 3 2" xfId="14341" xr:uid="{08C187A8-67D4-4783-A7ED-0B4E0B38F7ED}"/>
    <cellStyle name="Comma 4 2 2 2 2 3 4" xfId="9334" xr:uid="{50E8807F-6450-4082-BD30-0A86C2E78D0E}"/>
    <cellStyle name="Comma 4 2 2 2 2 3 5" xfId="10124" xr:uid="{D2B42E4F-E38B-4820-878E-4F639F9D89DB}"/>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C52FEC95-8668-4155-A87A-9BD60761DD59}"/>
    <cellStyle name="Comma 4 2 2 2 2 4 2 3" xfId="12682" xr:uid="{C6CAAAF9-08BE-44E7-B153-F9A5DEC740E9}"/>
    <cellStyle name="Comma 4 2 2 2 2 4 3" xfId="5428" xr:uid="{00000000-0005-0000-0000-0000C4070000}"/>
    <cellStyle name="Comma 4 2 2 2 2 4 3 2" xfId="14754" xr:uid="{BCC4C61C-9955-40C3-95CD-681163CAA20E}"/>
    <cellStyle name="Comma 4 2 2 2 2 4 4" xfId="10537" xr:uid="{B32846A7-6A82-4B38-BB04-3DB38245E26A}"/>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15A616C8-A3E2-454E-9293-3CD2F6D339B1}"/>
    <cellStyle name="Comma 4 2 2 2 2 5 2 3" xfId="13095" xr:uid="{25C93068-4D5A-4FA4-A209-B37A34103185}"/>
    <cellStyle name="Comma 4 2 2 2 2 5 3" xfId="5841" xr:uid="{00000000-0005-0000-0000-0000C8070000}"/>
    <cellStyle name="Comma 4 2 2 2 2 5 3 2" xfId="15167" xr:uid="{9488B957-2B34-451E-8FA4-178B2D80C563}"/>
    <cellStyle name="Comma 4 2 2 2 2 5 4" xfId="10950" xr:uid="{9A777673-5BD1-4FD6-990F-2CC05CC8F65B}"/>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1BA4C6C3-D907-48BA-96F2-2E3A114CB88D}"/>
    <cellStyle name="Comma 4 2 2 2 2 6 2 3" xfId="13508" xr:uid="{CA8456DE-FDFB-43A7-8010-C3A2E64D8025}"/>
    <cellStyle name="Comma 4 2 2 2 2 6 3" xfId="6254" xr:uid="{00000000-0005-0000-0000-0000CC070000}"/>
    <cellStyle name="Comma 4 2 2 2 2 6 3 2" xfId="15580" xr:uid="{B8F284A0-A9D9-4802-BD3E-E7602EDE7139}"/>
    <cellStyle name="Comma 4 2 2 2 2 6 4" xfId="11363" xr:uid="{009DF8D5-1EA5-4597-B4A5-77FF74EB5664}"/>
    <cellStyle name="Comma 4 2 2 2 2 7" xfId="2383" xr:uid="{00000000-0005-0000-0000-0000CD070000}"/>
    <cellStyle name="Comma 4 2 2 2 2 7 2" xfId="6667" xr:uid="{00000000-0005-0000-0000-0000CE070000}"/>
    <cellStyle name="Comma 4 2 2 2 2 7 2 2" xfId="15993" xr:uid="{5E94E3AF-4706-40C8-9DD9-0F96C044FFE9}"/>
    <cellStyle name="Comma 4 2 2 2 2 7 3" xfId="11776" xr:uid="{3A4258D3-F3F7-4688-B50E-86469DB5B586}"/>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A9CC94E4-B08E-4325-A08B-5DF69A83DD17}"/>
    <cellStyle name="Comma 4 2 2 2 2 9 3" xfId="12093" xr:uid="{8D8CD9BC-E9AA-4246-8C51-1D2459058F46}"/>
    <cellStyle name="Comma 4 2 2 2 3" xfId="131" xr:uid="{00000000-0005-0000-0000-0000D2070000}"/>
    <cellStyle name="Comma 4 2 2 2 3 10" xfId="9013" xr:uid="{D7491CA1-A7A0-4099-A659-9FB418CDDACA}"/>
    <cellStyle name="Comma 4 2 2 2 3 11" xfId="9712" xr:uid="{6B79D8FE-841C-413F-8FA6-DC074C5F0A61}"/>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FABD7AD1-1F56-490B-B92F-44A7C346CEC4}"/>
    <cellStyle name="Comma 4 2 2 2 3 2 2 3" xfId="12271" xr:uid="{30B95A17-4420-4C82-B897-CBE919926003}"/>
    <cellStyle name="Comma 4 2 2 2 3 2 3" xfId="5017" xr:uid="{00000000-0005-0000-0000-0000D6070000}"/>
    <cellStyle name="Comma 4 2 2 2 3 2 3 2" xfId="14343" xr:uid="{0A00B511-BB76-4C1A-A738-DD4518B83896}"/>
    <cellStyle name="Comma 4 2 2 2 3 2 4" xfId="9438" xr:uid="{8E9C4341-814A-43D1-8D35-8CCC512A2E32}"/>
    <cellStyle name="Comma 4 2 2 2 3 2 5" xfId="10126" xr:uid="{F3116274-5B9E-4A20-9A38-49EF359EC703}"/>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9EB36839-71ED-43B0-9B8C-D5C5A8E05B45}"/>
    <cellStyle name="Comma 4 2 2 2 3 3 2 3" xfId="12684" xr:uid="{8BE5DD69-0F26-4194-8238-E5F3DF2A6771}"/>
    <cellStyle name="Comma 4 2 2 2 3 3 3" xfId="5430" xr:uid="{00000000-0005-0000-0000-0000DA070000}"/>
    <cellStyle name="Comma 4 2 2 2 3 3 3 2" xfId="14756" xr:uid="{FACA0605-59EC-47BB-A96F-ECD233E04AFA}"/>
    <cellStyle name="Comma 4 2 2 2 3 3 4" xfId="10539" xr:uid="{02E9C5DC-B7C3-49F2-9860-BAA2C85036EB}"/>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215B8CFC-5840-4F24-B1FD-5AC6533E1C47}"/>
    <cellStyle name="Comma 4 2 2 2 3 4 2 3" xfId="13097" xr:uid="{CD082AE2-4A48-4661-8C86-491127F28798}"/>
    <cellStyle name="Comma 4 2 2 2 3 4 3" xfId="5843" xr:uid="{00000000-0005-0000-0000-0000DE070000}"/>
    <cellStyle name="Comma 4 2 2 2 3 4 3 2" xfId="15169" xr:uid="{5707BA20-B8F9-429C-839E-23CBA3D24B7B}"/>
    <cellStyle name="Comma 4 2 2 2 3 4 4" xfId="10952" xr:uid="{C2D0026E-E0C2-41CB-8B9A-9BCCFB668A77}"/>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A82712AC-EB8E-405C-852B-C7538C8E0BDA}"/>
    <cellStyle name="Comma 4 2 2 2 3 5 2 3" xfId="13510" xr:uid="{17DE0EBA-677F-4882-84B2-FCB29311D529}"/>
    <cellStyle name="Comma 4 2 2 2 3 5 3" xfId="6256" xr:uid="{00000000-0005-0000-0000-0000E2070000}"/>
    <cellStyle name="Comma 4 2 2 2 3 5 3 2" xfId="15582" xr:uid="{4D9A1FE6-053A-449D-A398-43B40DD21B9C}"/>
    <cellStyle name="Comma 4 2 2 2 3 5 4" xfId="11365" xr:uid="{D8FC1FBD-22EE-49CA-BA87-C54934B0A77A}"/>
    <cellStyle name="Comma 4 2 2 2 3 6" xfId="2385" xr:uid="{00000000-0005-0000-0000-0000E3070000}"/>
    <cellStyle name="Comma 4 2 2 2 3 6 2" xfId="6669" xr:uid="{00000000-0005-0000-0000-0000E4070000}"/>
    <cellStyle name="Comma 4 2 2 2 3 6 2 2" xfId="15995" xr:uid="{6C865199-7E04-4430-809D-67DF1818DF05}"/>
    <cellStyle name="Comma 4 2 2 2 3 6 3" xfId="11778" xr:uid="{F8E612C4-F164-487E-8580-19930B2FBE69}"/>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2DDAFBDB-06A5-4673-9881-6EB121E26439}"/>
    <cellStyle name="Comma 4 2 2 2 3 8 3" xfId="12095" xr:uid="{234629FB-BCAB-44CF-98FA-BA8205CFAA80}"/>
    <cellStyle name="Comma 4 2 2 2 3 9" xfId="4603" xr:uid="{00000000-0005-0000-0000-0000E8070000}"/>
    <cellStyle name="Comma 4 2 2 2 3 9 2" xfId="13929" xr:uid="{099A9704-B639-4FBA-B6CD-17992C982446}"/>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F57E561B-26DC-4A73-8433-D0980645DC18}"/>
    <cellStyle name="Comma 4 2 2 2 4 2 3" xfId="12268" xr:uid="{3F57B639-8DF6-4F06-8BB7-B3DEF97ED96F}"/>
    <cellStyle name="Comma 4 2 2 2 4 3" xfId="5014" xr:uid="{00000000-0005-0000-0000-0000EC070000}"/>
    <cellStyle name="Comma 4 2 2 2 4 3 2" xfId="14340" xr:uid="{BC33EDEF-BCB4-4A4A-864A-D3783A3E5824}"/>
    <cellStyle name="Comma 4 2 2 2 4 4" xfId="9231" xr:uid="{31DAC97A-9492-467B-9850-183797A56FBE}"/>
    <cellStyle name="Comma 4 2 2 2 4 5" xfId="10123" xr:uid="{E4D9C61E-5DC7-4E56-BB9B-116BE197350A}"/>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DAA68790-B198-4469-970B-6DF333BB90D7}"/>
    <cellStyle name="Comma 4 2 2 2 5 2 3" xfId="12681" xr:uid="{5D9D6C63-28FC-4124-ACCC-D1D1859B5400}"/>
    <cellStyle name="Comma 4 2 2 2 5 3" xfId="5427" xr:uid="{00000000-0005-0000-0000-0000F0070000}"/>
    <cellStyle name="Comma 4 2 2 2 5 3 2" xfId="14753" xr:uid="{F0914F4F-7E0E-475A-8F3A-CC4D37140F5F}"/>
    <cellStyle name="Comma 4 2 2 2 5 4" xfId="10536" xr:uid="{42E62A84-BCF1-4D6A-9DFD-C4283850DAFB}"/>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7B5D4E15-5804-4DC5-81D2-B791CE0659F2}"/>
    <cellStyle name="Comma 4 2 2 2 6 2 3" xfId="13094" xr:uid="{D8C72560-D51C-4F46-89D2-C4D03635A2D9}"/>
    <cellStyle name="Comma 4 2 2 2 6 3" xfId="5840" xr:uid="{00000000-0005-0000-0000-0000F4070000}"/>
    <cellStyle name="Comma 4 2 2 2 6 3 2" xfId="15166" xr:uid="{1C82A980-4F1F-44CE-BCF3-14A11F35425C}"/>
    <cellStyle name="Comma 4 2 2 2 6 4" xfId="10949" xr:uid="{1A1EAE77-5C5C-425D-9D27-1F5B30DFE2E3}"/>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CE101948-FD78-4CE7-98FC-86AFDA4D1B58}"/>
    <cellStyle name="Comma 4 2 2 2 7 2 3" xfId="13507" xr:uid="{7C2C738A-B82B-4D3E-9B48-EEBBD66BC4A8}"/>
    <cellStyle name="Comma 4 2 2 2 7 3" xfId="6253" xr:uid="{00000000-0005-0000-0000-0000F8070000}"/>
    <cellStyle name="Comma 4 2 2 2 7 3 2" xfId="15579" xr:uid="{6C35EC1B-EF09-4C3F-BD0D-2269382B89AE}"/>
    <cellStyle name="Comma 4 2 2 2 7 4" xfId="11362" xr:uid="{DEA4F457-2189-4579-821D-5E45E9383666}"/>
    <cellStyle name="Comma 4 2 2 2 8" xfId="2382" xr:uid="{00000000-0005-0000-0000-0000F9070000}"/>
    <cellStyle name="Comma 4 2 2 2 8 2" xfId="6666" xr:uid="{00000000-0005-0000-0000-0000FA070000}"/>
    <cellStyle name="Comma 4 2 2 2 8 2 2" xfId="15992" xr:uid="{E8B5A0ED-FC4E-4DD6-A2A0-31E760B9BA2C}"/>
    <cellStyle name="Comma 4 2 2 2 8 3" xfId="11775" xr:uid="{3F439F6A-ECBA-430D-817F-A606DC0B7DD1}"/>
    <cellStyle name="Comma 4 2 2 2 9" xfId="2381" xr:uid="{00000000-0005-0000-0000-0000FB070000}"/>
    <cellStyle name="Comma 4 2 2 3" xfId="132" xr:uid="{00000000-0005-0000-0000-0000FC070000}"/>
    <cellStyle name="Comma 4 2 2 3 10" xfId="4604" xr:uid="{00000000-0005-0000-0000-0000FD070000}"/>
    <cellStyle name="Comma 4 2 2 3 10 2" xfId="13930" xr:uid="{2DE0586A-C501-470A-B72D-6C1AEE48BC58}"/>
    <cellStyle name="Comma 4 2 2 3 11" xfId="8889" xr:uid="{93813409-C042-4436-8561-B0237A135E7D}"/>
    <cellStyle name="Comma 4 2 2 3 12" xfId="9713" xr:uid="{85582747-70B9-46BA-BCB2-466D0ACE8AFE}"/>
    <cellStyle name="Comma 4 2 2 3 2" xfId="133" xr:uid="{00000000-0005-0000-0000-0000FE070000}"/>
    <cellStyle name="Comma 4 2 2 3 2 10" xfId="9096" xr:uid="{C395B6CC-7E3E-452B-B5AB-BBF992A45CEB}"/>
    <cellStyle name="Comma 4 2 2 3 2 11" xfId="9714" xr:uid="{DDDB30FE-3932-4B05-B012-BCD0B56615EF}"/>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E849025E-0AFB-4FE5-90C5-12D0BFAE2772}"/>
    <cellStyle name="Comma 4 2 2 3 2 2 2 3" xfId="12273" xr:uid="{79A25624-525B-4955-BBC8-5C27B63BD148}"/>
    <cellStyle name="Comma 4 2 2 3 2 2 3" xfId="5019" xr:uid="{00000000-0005-0000-0000-000002080000}"/>
    <cellStyle name="Comma 4 2 2 3 2 2 3 2" xfId="14345" xr:uid="{F0F0E789-D4B2-4F6C-AB3F-1F5CB1B1F14E}"/>
    <cellStyle name="Comma 4 2 2 3 2 2 4" xfId="9521" xr:uid="{8F14F654-C711-4E70-8A06-71F68E70E2E0}"/>
    <cellStyle name="Comma 4 2 2 3 2 2 5" xfId="10128" xr:uid="{BEB8BBA2-08BE-4643-90EF-A57D81750D15}"/>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039830A8-8E8C-4BB2-B96B-7A90FA4B88EE}"/>
    <cellStyle name="Comma 4 2 2 3 2 3 2 3" xfId="12686" xr:uid="{20FE9262-B15A-469A-9578-85D2B2607B65}"/>
    <cellStyle name="Comma 4 2 2 3 2 3 3" xfId="5432" xr:uid="{00000000-0005-0000-0000-000006080000}"/>
    <cellStyle name="Comma 4 2 2 3 2 3 3 2" xfId="14758" xr:uid="{506918BE-74CE-4A17-81BD-2DD4BDD58FA4}"/>
    <cellStyle name="Comma 4 2 2 3 2 3 4" xfId="10541" xr:uid="{A99B0000-0DAA-4304-A2D4-D759CA42AF91}"/>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CC85D003-F4DE-4DBF-B969-DA7B1D13A264}"/>
    <cellStyle name="Comma 4 2 2 3 2 4 2 3" xfId="13099" xr:uid="{8B810280-13A7-4C4D-A08A-33B176C20652}"/>
    <cellStyle name="Comma 4 2 2 3 2 4 3" xfId="5845" xr:uid="{00000000-0005-0000-0000-00000A080000}"/>
    <cellStyle name="Comma 4 2 2 3 2 4 3 2" xfId="15171" xr:uid="{DBB3170F-D180-4657-A1BA-13CAC121A269}"/>
    <cellStyle name="Comma 4 2 2 3 2 4 4" xfId="10954" xr:uid="{3B5E93B6-30BB-4056-B860-87C0F1B18EDF}"/>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8C7E0C31-A39A-4F2C-9E1A-56B0ED48509C}"/>
    <cellStyle name="Comma 4 2 2 3 2 5 2 3" xfId="13512" xr:uid="{1ABC756B-484A-4B2E-9A39-FAF8DCE8FF64}"/>
    <cellStyle name="Comma 4 2 2 3 2 5 3" xfId="6258" xr:uid="{00000000-0005-0000-0000-00000E080000}"/>
    <cellStyle name="Comma 4 2 2 3 2 5 3 2" xfId="15584" xr:uid="{6495B8D2-6C7B-430C-9252-7DDFE2E87852}"/>
    <cellStyle name="Comma 4 2 2 3 2 5 4" xfId="11367" xr:uid="{79988867-FDF2-4DB2-B21D-A9A43C205839}"/>
    <cellStyle name="Comma 4 2 2 3 2 6" xfId="2387" xr:uid="{00000000-0005-0000-0000-00000F080000}"/>
    <cellStyle name="Comma 4 2 2 3 2 6 2" xfId="6671" xr:uid="{00000000-0005-0000-0000-000010080000}"/>
    <cellStyle name="Comma 4 2 2 3 2 6 2 2" xfId="15997" xr:uid="{4002DE3E-F96C-439F-A3B7-402B935D3A20}"/>
    <cellStyle name="Comma 4 2 2 3 2 6 3" xfId="11780" xr:uid="{7A32A606-BE88-4EC5-9751-98152E49BBC0}"/>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76A264D8-69BA-4DA5-A0DA-EFCADB9AF41A}"/>
    <cellStyle name="Comma 4 2 2 3 2 8 3" xfId="12097" xr:uid="{A47B170D-0120-4039-ACC3-E01C88778773}"/>
    <cellStyle name="Comma 4 2 2 3 2 9" xfId="4605" xr:uid="{00000000-0005-0000-0000-000014080000}"/>
    <cellStyle name="Comma 4 2 2 3 2 9 2" xfId="13931" xr:uid="{48F32BDB-A11E-4321-A52A-EF71DD4D3BCC}"/>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59C7BB61-3220-4171-95F0-C6A0A10E1768}"/>
    <cellStyle name="Comma 4 2 2 3 3 2 3" xfId="12272" xr:uid="{DD7D241B-CBA8-450D-AA88-8446B97EC4B8}"/>
    <cellStyle name="Comma 4 2 2 3 3 3" xfId="5018" xr:uid="{00000000-0005-0000-0000-000018080000}"/>
    <cellStyle name="Comma 4 2 2 3 3 3 2" xfId="14344" xr:uid="{510D7C3D-B616-4FA7-9BBF-5272AD75F0E4}"/>
    <cellStyle name="Comma 4 2 2 3 3 4" xfId="9314" xr:uid="{A74197AE-1229-40FC-8212-8FB289D74FF6}"/>
    <cellStyle name="Comma 4 2 2 3 3 5" xfId="10127" xr:uid="{DECACAD8-19A4-4747-B845-456FFB9E7C0D}"/>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5B428D94-E443-4B61-8509-671C0A0FFAF9}"/>
    <cellStyle name="Comma 4 2 2 3 4 2 3" xfId="12685" xr:uid="{13180AEE-86A2-4BB1-94BD-681A2E158A24}"/>
    <cellStyle name="Comma 4 2 2 3 4 3" xfId="5431" xr:uid="{00000000-0005-0000-0000-00001C080000}"/>
    <cellStyle name="Comma 4 2 2 3 4 3 2" xfId="14757" xr:uid="{17A8038E-5712-487E-B9B7-7B0FDD5ED62C}"/>
    <cellStyle name="Comma 4 2 2 3 4 4" xfId="10540" xr:uid="{73A044E3-F00A-43B6-A8F2-712DDA406C80}"/>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61784F31-DAB3-46E6-8228-B261E3555456}"/>
    <cellStyle name="Comma 4 2 2 3 5 2 3" xfId="13098" xr:uid="{AA0A8699-90D0-47AD-8E7E-6E63F9051220}"/>
    <cellStyle name="Comma 4 2 2 3 5 3" xfId="5844" xr:uid="{00000000-0005-0000-0000-000020080000}"/>
    <cellStyle name="Comma 4 2 2 3 5 3 2" xfId="15170" xr:uid="{3F2E937A-3DBF-41A7-A35E-56BE5FBFBC5A}"/>
    <cellStyle name="Comma 4 2 2 3 5 4" xfId="10953" xr:uid="{180B229B-19D8-4F00-AC46-6B4642962155}"/>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28A1875E-271E-4C32-87CD-936143BB9D51}"/>
    <cellStyle name="Comma 4 2 2 3 6 2 3" xfId="13511" xr:uid="{89722028-3FFE-43DF-B8E5-0F137909F026}"/>
    <cellStyle name="Comma 4 2 2 3 6 3" xfId="6257" xr:uid="{00000000-0005-0000-0000-000024080000}"/>
    <cellStyle name="Comma 4 2 2 3 6 3 2" xfId="15583" xr:uid="{5918A719-CFD5-4140-8196-1B545818EC8D}"/>
    <cellStyle name="Comma 4 2 2 3 6 4" xfId="11366" xr:uid="{80BD9528-D251-46E2-93EC-413710E6FFEA}"/>
    <cellStyle name="Comma 4 2 2 3 7" xfId="2386" xr:uid="{00000000-0005-0000-0000-000025080000}"/>
    <cellStyle name="Comma 4 2 2 3 7 2" xfId="6670" xr:uid="{00000000-0005-0000-0000-000026080000}"/>
    <cellStyle name="Comma 4 2 2 3 7 2 2" xfId="15996" xr:uid="{6A43FE62-4AF5-4B17-804B-AD0374473252}"/>
    <cellStyle name="Comma 4 2 2 3 7 3" xfId="11779" xr:uid="{A49863D0-6DD1-49B6-A528-18F523417311}"/>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DA712F8B-9DC9-4D90-9DDB-31328B9B57BB}"/>
    <cellStyle name="Comma 4 2 2 3 9 3" xfId="12096" xr:uid="{DAC58000-E6A5-4820-A4C5-62525D8D2DB4}"/>
    <cellStyle name="Comma 4 2 2 4" xfId="134" xr:uid="{00000000-0005-0000-0000-00002A080000}"/>
    <cellStyle name="Comma 4 2 2 4 10" xfId="8993" xr:uid="{2969CB69-37C4-4C43-BC9D-87F92556F829}"/>
    <cellStyle name="Comma 4 2 2 4 11" xfId="9715" xr:uid="{499E89E6-19F1-4D8C-9B7E-163518FBF33E}"/>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09FFECDB-5767-4A9A-954C-B77B754020F8}"/>
    <cellStyle name="Comma 4 2 2 4 2 2 3" xfId="12274" xr:uid="{AD240BAE-879D-4398-A94B-21EAFB2FCACA}"/>
    <cellStyle name="Comma 4 2 2 4 2 3" xfId="5020" xr:uid="{00000000-0005-0000-0000-00002E080000}"/>
    <cellStyle name="Comma 4 2 2 4 2 3 2" xfId="14346" xr:uid="{7C988708-58BB-4243-867A-982C42DBE94B}"/>
    <cellStyle name="Comma 4 2 2 4 2 4" xfId="9418" xr:uid="{F2EB07B7-2227-485D-9411-A8F75EC2F9DA}"/>
    <cellStyle name="Comma 4 2 2 4 2 5" xfId="10129" xr:uid="{8FD30291-917F-4879-98EF-66A353FA7987}"/>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4C40ACDF-5639-4CCB-8B1F-9BC1A40460F4}"/>
    <cellStyle name="Comma 4 2 2 4 3 2 3" xfId="12687" xr:uid="{902D1343-C21A-44C3-8354-83CE1CD2A5C1}"/>
    <cellStyle name="Comma 4 2 2 4 3 3" xfId="5433" xr:uid="{00000000-0005-0000-0000-000032080000}"/>
    <cellStyle name="Comma 4 2 2 4 3 3 2" xfId="14759" xr:uid="{24A10BA5-ABCB-4F4C-8299-6297C0C00416}"/>
    <cellStyle name="Comma 4 2 2 4 3 4" xfId="10542" xr:uid="{DD5B0669-908A-4FD3-A520-2B33E00561C7}"/>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29353801-4BAF-40B3-891B-0BB00C357A54}"/>
    <cellStyle name="Comma 4 2 2 4 4 2 3" xfId="13100" xr:uid="{5FEEAB3D-3A36-496F-A435-E5FB5B36736B}"/>
    <cellStyle name="Comma 4 2 2 4 4 3" xfId="5846" xr:uid="{00000000-0005-0000-0000-000036080000}"/>
    <cellStyle name="Comma 4 2 2 4 4 3 2" xfId="15172" xr:uid="{7AFADD26-568E-4771-AF4C-50E7B300E657}"/>
    <cellStyle name="Comma 4 2 2 4 4 4" xfId="10955" xr:uid="{9E9E3F3E-1414-4318-81FD-0CB4BA469F4C}"/>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FBF6A68D-3AE9-4EAB-ACBA-28FA323815BA}"/>
    <cellStyle name="Comma 4 2 2 4 5 2 3" xfId="13513" xr:uid="{E6CA0397-14C6-4C59-8E2F-D046F13B25C9}"/>
    <cellStyle name="Comma 4 2 2 4 5 3" xfId="6259" xr:uid="{00000000-0005-0000-0000-00003A080000}"/>
    <cellStyle name="Comma 4 2 2 4 5 3 2" xfId="15585" xr:uid="{9312C2E6-A278-4BE1-AE95-CF6395C69756}"/>
    <cellStyle name="Comma 4 2 2 4 5 4" xfId="11368" xr:uid="{021D01F1-C5B7-43CD-8EE6-132D0561BDAB}"/>
    <cellStyle name="Comma 4 2 2 4 6" xfId="2388" xr:uid="{00000000-0005-0000-0000-00003B080000}"/>
    <cellStyle name="Comma 4 2 2 4 6 2" xfId="6672" xr:uid="{00000000-0005-0000-0000-00003C080000}"/>
    <cellStyle name="Comma 4 2 2 4 6 2 2" xfId="15998" xr:uid="{46ED2A0B-D90B-4FF5-ADE7-29DEFC9BBD18}"/>
    <cellStyle name="Comma 4 2 2 4 6 3" xfId="11781" xr:uid="{95968129-4E41-403F-B09D-2C76338D701C}"/>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B0C548BE-D834-47AE-BE46-CFA918B110CC}"/>
    <cellStyle name="Comma 4 2 2 4 8 3" xfId="12098" xr:uid="{BC945789-E47C-47E2-9131-674FEEECCC80}"/>
    <cellStyle name="Comma 4 2 2 4 9" xfId="4606" xr:uid="{00000000-0005-0000-0000-000040080000}"/>
    <cellStyle name="Comma 4 2 2 4 9 2" xfId="13932" xr:uid="{D5F28D04-D891-4385-9124-0427A6C296B1}"/>
    <cellStyle name="Comma 4 2 2 5" xfId="135" xr:uid="{00000000-0005-0000-0000-000041080000}"/>
    <cellStyle name="Comma 4 2 2 5 10" xfId="9210" xr:uid="{C1F9418B-EF96-4063-883D-A983E131C6A4}"/>
    <cellStyle name="Comma 4 2 2 5 11" xfId="9716" xr:uid="{914AAFD1-14D0-4536-9F29-0FDDB708996D}"/>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BFF73417-8AE8-44ED-93CE-36C07F5534A3}"/>
    <cellStyle name="Comma 4 2 2 5 2 2 3" xfId="12275" xr:uid="{D1F28653-53B7-444F-B636-7087B0447844}"/>
    <cellStyle name="Comma 4 2 2 5 2 3" xfId="5021" xr:uid="{00000000-0005-0000-0000-000045080000}"/>
    <cellStyle name="Comma 4 2 2 5 2 3 2" xfId="14347" xr:uid="{67DE2FB9-0953-4A43-B5E9-E735FA0AAF79}"/>
    <cellStyle name="Comma 4 2 2 5 2 4" xfId="9593" xr:uid="{3B41C66E-2108-4CBE-9776-211459781E55}"/>
    <cellStyle name="Comma 4 2 2 5 2 5" xfId="10130" xr:uid="{E090C972-AB9C-4A99-9B3B-5B1452B1CAF6}"/>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A3DF7191-5F53-4F1D-91D3-2DF744B8CF08}"/>
    <cellStyle name="Comma 4 2 2 5 3 2 3" xfId="12688" xr:uid="{266792E5-27A6-484A-BDE5-F5C653C68D4B}"/>
    <cellStyle name="Comma 4 2 2 5 3 3" xfId="5434" xr:uid="{00000000-0005-0000-0000-000049080000}"/>
    <cellStyle name="Comma 4 2 2 5 3 3 2" xfId="14760" xr:uid="{EF6BC037-05D9-46B8-9248-DDC613D33B0C}"/>
    <cellStyle name="Comma 4 2 2 5 3 4" xfId="10543" xr:uid="{F6B12F53-FDA7-4DFD-867C-9FB0FD5F1F59}"/>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756CA372-5FBC-4275-BBC0-6AF334546B31}"/>
    <cellStyle name="Comma 4 2 2 5 4 2 3" xfId="13101" xr:uid="{1BA133B9-7AED-4B54-9103-581F47564B5A}"/>
    <cellStyle name="Comma 4 2 2 5 4 3" xfId="5847" xr:uid="{00000000-0005-0000-0000-00004D080000}"/>
    <cellStyle name="Comma 4 2 2 5 4 3 2" xfId="15173" xr:uid="{51B2114A-A510-4B7F-AF89-8F1FD261827A}"/>
    <cellStyle name="Comma 4 2 2 5 4 4" xfId="10956" xr:uid="{B34121E3-EBA1-4004-B4D7-535E15B50A87}"/>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BA5B1989-7E43-4055-B028-B152E3FEEBCC}"/>
    <cellStyle name="Comma 4 2 2 5 5 2 3" xfId="13514" xr:uid="{75940C6B-722E-4F9D-A249-6F5DEAA3924C}"/>
    <cellStyle name="Comma 4 2 2 5 5 3" xfId="6260" xr:uid="{00000000-0005-0000-0000-000051080000}"/>
    <cellStyle name="Comma 4 2 2 5 5 3 2" xfId="15586" xr:uid="{364A6E18-B9E2-43AB-9BAC-D2EC0056EDC4}"/>
    <cellStyle name="Comma 4 2 2 5 5 4" xfId="11369" xr:uid="{4EE64CF0-DD0C-4167-A112-DACD1CDC0B93}"/>
    <cellStyle name="Comma 4 2 2 5 6" xfId="2389" xr:uid="{00000000-0005-0000-0000-000052080000}"/>
    <cellStyle name="Comma 4 2 2 5 6 2" xfId="6673" xr:uid="{00000000-0005-0000-0000-000053080000}"/>
    <cellStyle name="Comma 4 2 2 5 6 2 2" xfId="15999" xr:uid="{36A060A1-8606-4DD3-84B0-4E43E565D6B4}"/>
    <cellStyle name="Comma 4 2 2 5 6 3" xfId="11782" xr:uid="{B2E91068-443C-4EAD-B72B-9CBF3938F5F9}"/>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ACA29F2C-2CB3-4114-8618-E78C427B0FA1}"/>
    <cellStyle name="Comma 4 2 2 5 8 3" xfId="12099" xr:uid="{D228B14A-AFB1-4DB7-A531-5899B35261D1}"/>
    <cellStyle name="Comma 4 2 2 5 9" xfId="4607" xr:uid="{00000000-0005-0000-0000-000057080000}"/>
    <cellStyle name="Comma 4 2 2 5 9 2" xfId="13933" xr:uid="{5445B4AA-99F3-46B3-BFB7-AFC0FC84E1AA}"/>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C9CDD2C3-BBA9-46E2-AB54-A21024199771}"/>
    <cellStyle name="Comma 4 2 3 10 3" xfId="12100" xr:uid="{838E7182-24C9-4140-910A-2B8FC13A6FF0}"/>
    <cellStyle name="Comma 4 2 3 11" xfId="4608" xr:uid="{00000000-0005-0000-0000-00005B080000}"/>
    <cellStyle name="Comma 4 2 3 11 2" xfId="13934" xr:uid="{5B544374-6376-4DFB-B4C4-B0C9A0FD4EEA}"/>
    <cellStyle name="Comma 4 2 3 12" xfId="8805" xr:uid="{C45527F6-07B7-4887-BAF3-A6424444BA3B}"/>
    <cellStyle name="Comma 4 2 3 13" xfId="9717" xr:uid="{A47B189F-B12F-459D-B143-E55AC5B1880E}"/>
    <cellStyle name="Comma 4 2 3 2" xfId="137" xr:uid="{00000000-0005-0000-0000-00005C080000}"/>
    <cellStyle name="Comma 4 2 3 2 10" xfId="4609" xr:uid="{00000000-0005-0000-0000-00005D080000}"/>
    <cellStyle name="Comma 4 2 3 2 10 2" xfId="13935" xr:uid="{05D06D6F-4071-434B-A101-CD91D5EF893C}"/>
    <cellStyle name="Comma 4 2 3 2 11" xfId="8908" xr:uid="{E7021C11-E6EB-4392-A0AD-2A78F42B4BB7}"/>
    <cellStyle name="Comma 4 2 3 2 12" xfId="9718" xr:uid="{714517DF-3A52-40B3-ACEE-EC173C06B594}"/>
    <cellStyle name="Comma 4 2 3 2 2" xfId="138" xr:uid="{00000000-0005-0000-0000-00005E080000}"/>
    <cellStyle name="Comma 4 2 3 2 2 10" xfId="9115" xr:uid="{1A31CCC4-B2C0-4E0C-B714-855521500FE8}"/>
    <cellStyle name="Comma 4 2 3 2 2 11" xfId="9719" xr:uid="{D729DB09-374F-4904-B85C-D740B5259B5C}"/>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B63822F4-6281-4C06-8C77-3D3C6232D891}"/>
    <cellStyle name="Comma 4 2 3 2 2 2 2 3" xfId="12278" xr:uid="{FC667525-054C-4901-B914-754759A6C8DE}"/>
    <cellStyle name="Comma 4 2 3 2 2 2 3" xfId="5024" xr:uid="{00000000-0005-0000-0000-000062080000}"/>
    <cellStyle name="Comma 4 2 3 2 2 2 3 2" xfId="14350" xr:uid="{AB891CE0-C8E7-4DC4-815F-53EF9A2781CF}"/>
    <cellStyle name="Comma 4 2 3 2 2 2 4" xfId="9540" xr:uid="{F922DD27-FEAE-4DB6-894F-26CD58815668}"/>
    <cellStyle name="Comma 4 2 3 2 2 2 5" xfId="10133" xr:uid="{07ECDFC8-0D4E-46CC-9FF4-936E7342BFDD}"/>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F85E2698-ACF3-4AD5-9B9D-A6A440E1E66B}"/>
    <cellStyle name="Comma 4 2 3 2 2 3 2 3" xfId="12691" xr:uid="{9D9DE5A4-022D-4BBB-B353-BFD4BFE60558}"/>
    <cellStyle name="Comma 4 2 3 2 2 3 3" xfId="5437" xr:uid="{00000000-0005-0000-0000-000066080000}"/>
    <cellStyle name="Comma 4 2 3 2 2 3 3 2" xfId="14763" xr:uid="{4AFDFF0F-9441-4E8C-9933-98E1E96096D8}"/>
    <cellStyle name="Comma 4 2 3 2 2 3 4" xfId="10546" xr:uid="{65199549-F8D6-464E-A9F5-6540A153A63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2AB5349F-3676-4DDD-B5B1-5F7B9F1C4618}"/>
    <cellStyle name="Comma 4 2 3 2 2 4 2 3" xfId="13104" xr:uid="{23C63C17-83C5-4B5C-8A10-FB0E07532378}"/>
    <cellStyle name="Comma 4 2 3 2 2 4 3" xfId="5850" xr:uid="{00000000-0005-0000-0000-00006A080000}"/>
    <cellStyle name="Comma 4 2 3 2 2 4 3 2" xfId="15176" xr:uid="{B2988917-7A3E-43BF-A4C3-0C513AC0FAD1}"/>
    <cellStyle name="Comma 4 2 3 2 2 4 4" xfId="10959" xr:uid="{322220CF-F41E-4134-B5BF-2ABFDAEB00AB}"/>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82C27960-5362-452F-B03F-1CBDE0DD3827}"/>
    <cellStyle name="Comma 4 2 3 2 2 5 2 3" xfId="13517" xr:uid="{E1B543B4-9207-402F-9CDF-6838362FC829}"/>
    <cellStyle name="Comma 4 2 3 2 2 5 3" xfId="6263" xr:uid="{00000000-0005-0000-0000-00006E080000}"/>
    <cellStyle name="Comma 4 2 3 2 2 5 3 2" xfId="15589" xr:uid="{0CB53C60-165D-4D51-A5BC-932D82AEBDD0}"/>
    <cellStyle name="Comma 4 2 3 2 2 5 4" xfId="11372" xr:uid="{2F26C992-E6F2-4932-8EE8-2AFFA8551AA6}"/>
    <cellStyle name="Comma 4 2 3 2 2 6" xfId="2392" xr:uid="{00000000-0005-0000-0000-00006F080000}"/>
    <cellStyle name="Comma 4 2 3 2 2 6 2" xfId="6676" xr:uid="{00000000-0005-0000-0000-000070080000}"/>
    <cellStyle name="Comma 4 2 3 2 2 6 2 2" xfId="16002" xr:uid="{73AFC6F1-77CC-4A46-AEC5-F407C682DDF4}"/>
    <cellStyle name="Comma 4 2 3 2 2 6 3" xfId="11785" xr:uid="{26C5FAEE-DA3C-4078-965C-7BA2236D8FFA}"/>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9100B711-6CDE-4E80-A497-7EAED8C013B1}"/>
    <cellStyle name="Comma 4 2 3 2 2 8 3" xfId="12102" xr:uid="{45451643-D233-40A7-8790-4AF2FDB32635}"/>
    <cellStyle name="Comma 4 2 3 2 2 9" xfId="4610" xr:uid="{00000000-0005-0000-0000-000074080000}"/>
    <cellStyle name="Comma 4 2 3 2 2 9 2" xfId="13936" xr:uid="{32BE8BCF-4676-452F-B3E5-FA398CC58FDC}"/>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4D1441EC-0D81-4200-85DB-6411BA316493}"/>
    <cellStyle name="Comma 4 2 3 2 3 2 3" xfId="12277" xr:uid="{05E06DA7-EEA8-4B34-8D67-1BAC980023FF}"/>
    <cellStyle name="Comma 4 2 3 2 3 3" xfId="5023" xr:uid="{00000000-0005-0000-0000-000078080000}"/>
    <cellStyle name="Comma 4 2 3 2 3 3 2" xfId="14349" xr:uid="{F8A463FC-6328-40FE-9B87-19503ACCF76F}"/>
    <cellStyle name="Comma 4 2 3 2 3 4" xfId="9333" xr:uid="{5C974796-1B06-4FA8-AB2A-F6B34628ACD4}"/>
    <cellStyle name="Comma 4 2 3 2 3 5" xfId="10132" xr:uid="{E31ABF8F-0E80-436A-81A9-B92A5CDF5B78}"/>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72E022C1-308B-457E-8D42-11B7837BE109}"/>
    <cellStyle name="Comma 4 2 3 2 4 2 3" xfId="12690" xr:uid="{160A7F3B-0A6C-43D2-B592-CB4B3AE84F66}"/>
    <cellStyle name="Comma 4 2 3 2 4 3" xfId="5436" xr:uid="{00000000-0005-0000-0000-00007C080000}"/>
    <cellStyle name="Comma 4 2 3 2 4 3 2" xfId="14762" xr:uid="{CFD5E9C6-C7E9-4870-8A47-E8BFBA806BB0}"/>
    <cellStyle name="Comma 4 2 3 2 4 4" xfId="10545" xr:uid="{69E13414-4CDE-4210-B26E-20EFD0D47DB1}"/>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6731843F-DA7E-4042-8C6F-0A9DE37C1363}"/>
    <cellStyle name="Comma 4 2 3 2 5 2 3" xfId="13103" xr:uid="{63346CAC-E13F-4288-AEE1-DF4D00EF81CB}"/>
    <cellStyle name="Comma 4 2 3 2 5 3" xfId="5849" xr:uid="{00000000-0005-0000-0000-000080080000}"/>
    <cellStyle name="Comma 4 2 3 2 5 3 2" xfId="15175" xr:uid="{5EC67420-9E94-439E-90B6-B436A785A9EC}"/>
    <cellStyle name="Comma 4 2 3 2 5 4" xfId="10958" xr:uid="{B2872FD0-D49E-42AF-B808-C89752FB7848}"/>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AB658B36-FF7A-4FDD-93AF-AB9981F499F8}"/>
    <cellStyle name="Comma 4 2 3 2 6 2 3" xfId="13516" xr:uid="{D63B24DE-CEBD-4162-8215-34F8DC005B0E}"/>
    <cellStyle name="Comma 4 2 3 2 6 3" xfId="6262" xr:uid="{00000000-0005-0000-0000-000084080000}"/>
    <cellStyle name="Comma 4 2 3 2 6 3 2" xfId="15588" xr:uid="{94E0D9B7-4036-4F96-A447-16E0A0691D89}"/>
    <cellStyle name="Comma 4 2 3 2 6 4" xfId="11371" xr:uid="{426BA06D-073B-46CB-B20E-1E01BA2B045C}"/>
    <cellStyle name="Comma 4 2 3 2 7" xfId="2391" xr:uid="{00000000-0005-0000-0000-000085080000}"/>
    <cellStyle name="Comma 4 2 3 2 7 2" xfId="6675" xr:uid="{00000000-0005-0000-0000-000086080000}"/>
    <cellStyle name="Comma 4 2 3 2 7 2 2" xfId="16001" xr:uid="{1DA181C2-9A18-4357-A7F1-151BAC449F91}"/>
    <cellStyle name="Comma 4 2 3 2 7 3" xfId="11784" xr:uid="{B10D78C7-12C6-49BE-B398-681F33465749}"/>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144E5666-5CD5-4CAA-B55E-ADE66095164E}"/>
    <cellStyle name="Comma 4 2 3 2 9 3" xfId="12101" xr:uid="{C3E47180-28BB-4697-9F4B-62BEAEAD3D6E}"/>
    <cellStyle name="Comma 4 2 3 3" xfId="139" xr:uid="{00000000-0005-0000-0000-00008A080000}"/>
    <cellStyle name="Comma 4 2 3 3 10" xfId="9012" xr:uid="{61C0F117-76A9-43CA-B381-88B2CFF6294C}"/>
    <cellStyle name="Comma 4 2 3 3 11" xfId="9720" xr:uid="{90018494-2AB5-4719-964D-2E94FCD8B858}"/>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9DFEB6A9-BA9D-46A3-83FD-FA5D64272876}"/>
    <cellStyle name="Comma 4 2 3 3 2 2 3" xfId="12279" xr:uid="{6B3DE0F1-AF0E-491A-991B-328B4AC34642}"/>
    <cellStyle name="Comma 4 2 3 3 2 3" xfId="5025" xr:uid="{00000000-0005-0000-0000-00008E080000}"/>
    <cellStyle name="Comma 4 2 3 3 2 3 2" xfId="14351" xr:uid="{0F35F1C2-D10D-49F0-B91F-0B26093B08F3}"/>
    <cellStyle name="Comma 4 2 3 3 2 4" xfId="9437" xr:uid="{35C6809B-E49F-4A7F-8CB1-650474E72B0A}"/>
    <cellStyle name="Comma 4 2 3 3 2 5" xfId="10134" xr:uid="{4D5C0DF5-C18D-4F4B-9215-81755BECDE9D}"/>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C03AC25D-E232-4ADC-9806-C4F2A81A9F9A}"/>
    <cellStyle name="Comma 4 2 3 3 3 2 3" xfId="12692" xr:uid="{0161BBAB-1372-4E80-BB20-EA4EF3AC7ED4}"/>
    <cellStyle name="Comma 4 2 3 3 3 3" xfId="5438" xr:uid="{00000000-0005-0000-0000-000092080000}"/>
    <cellStyle name="Comma 4 2 3 3 3 3 2" xfId="14764" xr:uid="{ABC89274-F304-4C9D-97AE-EBAF75BF9F00}"/>
    <cellStyle name="Comma 4 2 3 3 3 4" xfId="10547" xr:uid="{7CAACA5E-9DE8-4178-8D99-2DE0C115F0E7}"/>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0B0F84EE-A86A-4B6B-A6A5-0E34D4773A9E}"/>
    <cellStyle name="Comma 4 2 3 3 4 2 3" xfId="13105" xr:uid="{E7EED82B-EF09-4895-B3D6-2E2B6BED0612}"/>
    <cellStyle name="Comma 4 2 3 3 4 3" xfId="5851" xr:uid="{00000000-0005-0000-0000-000096080000}"/>
    <cellStyle name="Comma 4 2 3 3 4 3 2" xfId="15177" xr:uid="{67A51A8D-7166-4648-8B19-DD20859BF31B}"/>
    <cellStyle name="Comma 4 2 3 3 4 4" xfId="10960" xr:uid="{AC06B391-FA1E-4E7D-88B1-5D6CA2CDECE7}"/>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FE11828F-184A-4740-9141-2240D9D2F2E6}"/>
    <cellStyle name="Comma 4 2 3 3 5 2 3" xfId="13518" xr:uid="{03AE377F-60CD-42BE-83BB-9239CFBAE96E}"/>
    <cellStyle name="Comma 4 2 3 3 5 3" xfId="6264" xr:uid="{00000000-0005-0000-0000-00009A080000}"/>
    <cellStyle name="Comma 4 2 3 3 5 3 2" xfId="15590" xr:uid="{B116EE33-EDF0-49D4-87B8-BA0759587DFF}"/>
    <cellStyle name="Comma 4 2 3 3 5 4" xfId="11373" xr:uid="{79689CE4-5D04-4899-AC82-CAEF9F0F43B0}"/>
    <cellStyle name="Comma 4 2 3 3 6" xfId="2393" xr:uid="{00000000-0005-0000-0000-00009B080000}"/>
    <cellStyle name="Comma 4 2 3 3 6 2" xfId="6677" xr:uid="{00000000-0005-0000-0000-00009C080000}"/>
    <cellStyle name="Comma 4 2 3 3 6 2 2" xfId="16003" xr:uid="{222CDA8D-C74B-47CB-B1E7-60A551D188E0}"/>
    <cellStyle name="Comma 4 2 3 3 6 3" xfId="11786" xr:uid="{85C4D56D-EB7F-4769-951E-899B009B3558}"/>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C679FDC0-3D23-47C3-AB8C-CD98E6D41A63}"/>
    <cellStyle name="Comma 4 2 3 3 8 3" xfId="12103" xr:uid="{BE00B263-D36C-461C-BBEF-C35AF5C26227}"/>
    <cellStyle name="Comma 4 2 3 3 9" xfId="4611" xr:uid="{00000000-0005-0000-0000-0000A0080000}"/>
    <cellStyle name="Comma 4 2 3 3 9 2" xfId="13937" xr:uid="{6E9925B8-2591-4C84-A291-9CAD989D8AAF}"/>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D615D8F7-5115-498B-807B-08465479766E}"/>
    <cellStyle name="Comma 4 2 3 4 2 3" xfId="12276" xr:uid="{1353EF38-2628-4582-86EA-8694AEC5EB03}"/>
    <cellStyle name="Comma 4 2 3 4 3" xfId="5022" xr:uid="{00000000-0005-0000-0000-0000A4080000}"/>
    <cellStyle name="Comma 4 2 3 4 3 2" xfId="14348" xr:uid="{7C87278C-9E58-4889-85B3-129F73DBA784}"/>
    <cellStyle name="Comma 4 2 3 4 4" xfId="9230" xr:uid="{24B6B749-023F-4009-8785-C6CFE1098E24}"/>
    <cellStyle name="Comma 4 2 3 4 5" xfId="10131" xr:uid="{D04F3849-DB19-4465-B5DF-60327A34647D}"/>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7439C5F4-934B-4737-B3AA-76FDC669D178}"/>
    <cellStyle name="Comma 4 2 3 5 2 3" xfId="12689" xr:uid="{40FF2838-D777-4721-A3BB-60C58606BF85}"/>
    <cellStyle name="Comma 4 2 3 5 3" xfId="5435" xr:uid="{00000000-0005-0000-0000-0000A8080000}"/>
    <cellStyle name="Comma 4 2 3 5 3 2" xfId="14761" xr:uid="{5E67362C-6164-4267-9935-7DDE840C9A63}"/>
    <cellStyle name="Comma 4 2 3 5 4" xfId="10544" xr:uid="{096442CD-2D3C-4AAD-B6E5-8D765409660C}"/>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D2428507-5E95-41A9-B62A-E48F3818EE16}"/>
    <cellStyle name="Comma 4 2 3 6 2 3" xfId="13102" xr:uid="{D53C37F7-D5DA-43C5-B29E-B2F653695CA8}"/>
    <cellStyle name="Comma 4 2 3 6 3" xfId="5848" xr:uid="{00000000-0005-0000-0000-0000AC080000}"/>
    <cellStyle name="Comma 4 2 3 6 3 2" xfId="15174" xr:uid="{80612A49-20A8-4CCD-B405-9F8D79A2F6F3}"/>
    <cellStyle name="Comma 4 2 3 6 4" xfId="10957" xr:uid="{838E1979-6167-4DD5-B9B7-1FB4DEAA7C99}"/>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0231A469-2BBB-4D5A-86DB-FDEFCC52C15D}"/>
    <cellStyle name="Comma 4 2 3 7 2 3" xfId="13515" xr:uid="{F43D17C7-C3E2-4F1E-900B-642B58C25B61}"/>
    <cellStyle name="Comma 4 2 3 7 3" xfId="6261" xr:uid="{00000000-0005-0000-0000-0000B0080000}"/>
    <cellStyle name="Comma 4 2 3 7 3 2" xfId="15587" xr:uid="{39DD6EEA-69B5-48F4-89FA-CF578495278A}"/>
    <cellStyle name="Comma 4 2 3 7 4" xfId="11370" xr:uid="{8819194F-6B27-4DEB-8196-E9B8B31DEDD3}"/>
    <cellStyle name="Comma 4 2 3 8" xfId="2390" xr:uid="{00000000-0005-0000-0000-0000B1080000}"/>
    <cellStyle name="Comma 4 2 3 8 2" xfId="6674" xr:uid="{00000000-0005-0000-0000-0000B2080000}"/>
    <cellStyle name="Comma 4 2 3 8 2 2" xfId="16000" xr:uid="{82D3E7A6-913A-4061-910E-5B4C45E67630}"/>
    <cellStyle name="Comma 4 2 3 8 3" xfId="11783" xr:uid="{B6B2CE72-7E54-4CBC-BC2F-6C56D0B79C40}"/>
    <cellStyle name="Comma 4 2 3 9" xfId="2373" xr:uid="{00000000-0005-0000-0000-0000B3080000}"/>
    <cellStyle name="Comma 4 2 4" xfId="140" xr:uid="{00000000-0005-0000-0000-0000B4080000}"/>
    <cellStyle name="Comma 4 2 4 10" xfId="4612" xr:uid="{00000000-0005-0000-0000-0000B5080000}"/>
    <cellStyle name="Comma 4 2 4 10 2" xfId="13938" xr:uid="{6E243750-5585-4E52-9F8E-6A0A23D8238A}"/>
    <cellStyle name="Comma 4 2 4 11" xfId="8858" xr:uid="{B6A00C95-D04C-44B2-B8AF-67540882256C}"/>
    <cellStyle name="Comma 4 2 4 12" xfId="9721" xr:uid="{93B98357-811E-4AE2-B57F-247D63BDA83C}"/>
    <cellStyle name="Comma 4 2 4 2" xfId="141" xr:uid="{00000000-0005-0000-0000-0000B6080000}"/>
    <cellStyle name="Comma 4 2 4 2 10" xfId="9065" xr:uid="{961AA06A-D943-447E-AADB-49B440E7E7CE}"/>
    <cellStyle name="Comma 4 2 4 2 11" xfId="9722" xr:uid="{FA74BAE3-735C-4133-A506-75352E708E68}"/>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64D92BF3-65EA-4FED-AA45-463A848DC866}"/>
    <cellStyle name="Comma 4 2 4 2 2 2 3" xfId="12281" xr:uid="{C009451A-ADDE-489B-A7D7-47FE1DEB6108}"/>
    <cellStyle name="Comma 4 2 4 2 2 3" xfId="5027" xr:uid="{00000000-0005-0000-0000-0000BA080000}"/>
    <cellStyle name="Comma 4 2 4 2 2 3 2" xfId="14353" xr:uid="{D22EBEE5-7D9D-42BA-AC17-28D9A5D0505B}"/>
    <cellStyle name="Comma 4 2 4 2 2 4" xfId="9490" xr:uid="{2FAEB1E6-7B41-437B-B2A9-4352AB4F4B98}"/>
    <cellStyle name="Comma 4 2 4 2 2 5" xfId="10136" xr:uid="{FAB5C1CF-28F5-4B67-AAB2-2B7A59E94B32}"/>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3A598564-3564-466E-A5F7-BAD520880469}"/>
    <cellStyle name="Comma 4 2 4 2 3 2 3" xfId="12694" xr:uid="{236B985C-3994-4998-A63C-3977586358FB}"/>
    <cellStyle name="Comma 4 2 4 2 3 3" xfId="5440" xr:uid="{00000000-0005-0000-0000-0000BE080000}"/>
    <cellStyle name="Comma 4 2 4 2 3 3 2" xfId="14766" xr:uid="{47F2B4FF-022D-419E-831B-A1B7A006B234}"/>
    <cellStyle name="Comma 4 2 4 2 3 4" xfId="10549" xr:uid="{46ABDB21-6D86-4047-BFBB-6956B77ED67E}"/>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E61B462A-2601-4717-8FEA-1B5DBCB4EBD1}"/>
    <cellStyle name="Comma 4 2 4 2 4 2 3" xfId="13107" xr:uid="{0E0149D5-ED8D-4E31-9235-AE24A44210A5}"/>
    <cellStyle name="Comma 4 2 4 2 4 3" xfId="5853" xr:uid="{00000000-0005-0000-0000-0000C2080000}"/>
    <cellStyle name="Comma 4 2 4 2 4 3 2" xfId="15179" xr:uid="{EF6D5A6C-0061-4B8D-9E56-BAB15D8F3849}"/>
    <cellStyle name="Comma 4 2 4 2 4 4" xfId="10962" xr:uid="{0F111812-FA73-4FBC-A21C-75F363B1158A}"/>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232D6434-E94A-493C-BAE9-77FFEC6586FC}"/>
    <cellStyle name="Comma 4 2 4 2 5 2 3" xfId="13520" xr:uid="{64E8053E-C834-4975-9341-9EB96ADB6ED5}"/>
    <cellStyle name="Comma 4 2 4 2 5 3" xfId="6266" xr:uid="{00000000-0005-0000-0000-0000C6080000}"/>
    <cellStyle name="Comma 4 2 4 2 5 3 2" xfId="15592" xr:uid="{08484DED-A9E9-4722-B0D5-DC2BC8EB1550}"/>
    <cellStyle name="Comma 4 2 4 2 5 4" xfId="11375" xr:uid="{B14981B7-9E79-4C9C-B0B0-8BE38EEB2CB8}"/>
    <cellStyle name="Comma 4 2 4 2 6" xfId="2395" xr:uid="{00000000-0005-0000-0000-0000C7080000}"/>
    <cellStyle name="Comma 4 2 4 2 6 2" xfId="6679" xr:uid="{00000000-0005-0000-0000-0000C8080000}"/>
    <cellStyle name="Comma 4 2 4 2 6 2 2" xfId="16005" xr:uid="{55CCB6AA-CEDB-4A2D-85EC-3525F5DE3CB6}"/>
    <cellStyle name="Comma 4 2 4 2 6 3" xfId="11788" xr:uid="{4637493B-FD4C-4CDB-84D4-E8E6FCC76529}"/>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753BE019-BF46-4DE9-A495-AC2388CE4BD9}"/>
    <cellStyle name="Comma 4 2 4 2 8 3" xfId="12105" xr:uid="{D87EC110-3762-4608-AECD-1E74609792DC}"/>
    <cellStyle name="Comma 4 2 4 2 9" xfId="4613" xr:uid="{00000000-0005-0000-0000-0000CC080000}"/>
    <cellStyle name="Comma 4 2 4 2 9 2" xfId="13939" xr:uid="{C9ED8D12-8CA9-4DF9-A69E-500D79BAC35B}"/>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9EFAF25B-FF67-43CF-91FF-9FFCF497B24A}"/>
    <cellStyle name="Comma 4 2 4 3 2 3" xfId="12280" xr:uid="{D886E21E-08DF-4007-9E3F-25EBD74C0ACD}"/>
    <cellStyle name="Comma 4 2 4 3 3" xfId="5026" xr:uid="{00000000-0005-0000-0000-0000D0080000}"/>
    <cellStyle name="Comma 4 2 4 3 3 2" xfId="14352" xr:uid="{1B35A11E-41C9-4C8F-8350-E556AE2AD02C}"/>
    <cellStyle name="Comma 4 2 4 3 4" xfId="9283" xr:uid="{7E46ED3C-A8F4-4512-93D9-5F41F1AC397C}"/>
    <cellStyle name="Comma 4 2 4 3 5" xfId="10135" xr:uid="{7F409762-F5DA-4DE5-A0E5-A76A8D43ADB5}"/>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1885F551-D20C-452C-B1D6-94A30B56CC7A}"/>
    <cellStyle name="Comma 4 2 4 4 2 3" xfId="12693" xr:uid="{3C3B0550-D25E-485D-9998-D42F07FD4964}"/>
    <cellStyle name="Comma 4 2 4 4 3" xfId="5439" xr:uid="{00000000-0005-0000-0000-0000D4080000}"/>
    <cellStyle name="Comma 4 2 4 4 3 2" xfId="14765" xr:uid="{10806FC9-2A61-4515-AA4F-3BF19C21F49A}"/>
    <cellStyle name="Comma 4 2 4 4 4" xfId="10548" xr:uid="{6E816B80-4B1E-4F20-85F8-23EF7B3F9840}"/>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2A3109D4-937D-4EA4-B9B0-D9E92A35D689}"/>
    <cellStyle name="Comma 4 2 4 5 2 3" xfId="13106" xr:uid="{31E935F6-405A-4FE9-8D81-47B4DFD89DE2}"/>
    <cellStyle name="Comma 4 2 4 5 3" xfId="5852" xr:uid="{00000000-0005-0000-0000-0000D8080000}"/>
    <cellStyle name="Comma 4 2 4 5 3 2" xfId="15178" xr:uid="{2B3E05C0-BC69-4011-BCFF-8572D7A44299}"/>
    <cellStyle name="Comma 4 2 4 5 4" xfId="10961" xr:uid="{C3D365AB-937A-44BB-BE80-C7ADEC5E4671}"/>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3086F4E8-F87B-4F7A-854E-892B91C7B032}"/>
    <cellStyle name="Comma 4 2 4 6 2 3" xfId="13519" xr:uid="{EB9C5ECC-A545-4B62-B25F-6ADF94EB451B}"/>
    <cellStyle name="Comma 4 2 4 6 3" xfId="6265" xr:uid="{00000000-0005-0000-0000-0000DC080000}"/>
    <cellStyle name="Comma 4 2 4 6 3 2" xfId="15591" xr:uid="{4BCACD1D-D942-40D7-B88F-8826781935E9}"/>
    <cellStyle name="Comma 4 2 4 6 4" xfId="11374" xr:uid="{349345DC-AF8D-46E2-B8DB-FC5470673DAE}"/>
    <cellStyle name="Comma 4 2 4 7" xfId="2394" xr:uid="{00000000-0005-0000-0000-0000DD080000}"/>
    <cellStyle name="Comma 4 2 4 7 2" xfId="6678" xr:uid="{00000000-0005-0000-0000-0000DE080000}"/>
    <cellStyle name="Comma 4 2 4 7 2 2" xfId="16004" xr:uid="{CFC148BE-48E9-46F0-9E71-1AACDD48951D}"/>
    <cellStyle name="Comma 4 2 4 7 3" xfId="11787" xr:uid="{3B24A631-1E4F-4FD4-AF7D-485A02BC74DA}"/>
    <cellStyle name="Comma 4 2 4 8" xfId="2369" xr:uid="{00000000-0005-0000-0000-0000DF080000}"/>
    <cellStyle name="Comma 4 2 4 9" xfId="2772" xr:uid="{00000000-0005-0000-0000-0000E0080000}"/>
    <cellStyle name="Comma 4 2 4 9 2" xfId="6995" xr:uid="{00000000-0005-0000-0000-0000E1080000}"/>
    <cellStyle name="Comma 4 2 4 9 2 2" xfId="16321" xr:uid="{2DD9F3DB-2B15-479B-B11C-80C81455BA63}"/>
    <cellStyle name="Comma 4 2 4 9 3" xfId="12104" xr:uid="{7ACF14FD-8B21-447A-B05B-B438E82EC7DB}"/>
    <cellStyle name="Comma 4 2 5" xfId="142" xr:uid="{00000000-0005-0000-0000-0000E2080000}"/>
    <cellStyle name="Comma 4 2 5 10" xfId="8974" xr:uid="{86B0C89A-8A2D-4755-B15D-84E412E1D380}"/>
    <cellStyle name="Comma 4 2 5 11" xfId="9723" xr:uid="{CDCE74C3-B1DC-4187-B006-03D0B4330737}"/>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ED6BCA46-821C-403D-AE90-4EA87EFC5A29}"/>
    <cellStyle name="Comma 4 2 5 2 2 3" xfId="12282" xr:uid="{1265312A-5422-4C8F-8069-BBFA760251A3}"/>
    <cellStyle name="Comma 4 2 5 2 3" xfId="5028" xr:uid="{00000000-0005-0000-0000-0000E6080000}"/>
    <cellStyle name="Comma 4 2 5 2 3 2" xfId="14354" xr:uid="{43610994-628E-4061-B141-B747E52FA76E}"/>
    <cellStyle name="Comma 4 2 5 2 4" xfId="9399" xr:uid="{1B388BC7-1FC6-4DC3-B345-755F61B57864}"/>
    <cellStyle name="Comma 4 2 5 2 5" xfId="10137" xr:uid="{F51CF6E9-E359-45A3-B46D-8A243414FD38}"/>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4979AD05-BE4F-4BFA-941A-94B3708951CF}"/>
    <cellStyle name="Comma 4 2 5 3 2 3" xfId="12695" xr:uid="{759AB8DB-B746-46E1-9704-F3D4C64FAB2D}"/>
    <cellStyle name="Comma 4 2 5 3 3" xfId="5441" xr:uid="{00000000-0005-0000-0000-0000EA080000}"/>
    <cellStyle name="Comma 4 2 5 3 3 2" xfId="14767" xr:uid="{26A34884-85D6-4DF5-AAD9-364582D3852E}"/>
    <cellStyle name="Comma 4 2 5 3 4" xfId="10550" xr:uid="{90832635-F67E-45BE-82AA-76473F1CDB4C}"/>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52EE858B-0E80-4E7A-9842-D8ACB45C3CC1}"/>
    <cellStyle name="Comma 4 2 5 4 2 3" xfId="13108" xr:uid="{60FE90F5-B03A-4472-B2BE-5AE8501BB7E6}"/>
    <cellStyle name="Comma 4 2 5 4 3" xfId="5854" xr:uid="{00000000-0005-0000-0000-0000EE080000}"/>
    <cellStyle name="Comma 4 2 5 4 3 2" xfId="15180" xr:uid="{818EC102-7FCE-40B4-A934-BB33CB724629}"/>
    <cellStyle name="Comma 4 2 5 4 4" xfId="10963" xr:uid="{A6705E87-44D0-479E-9F23-A20BA43CAC06}"/>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36209473-E107-474F-A9FD-E4C685DE6275}"/>
    <cellStyle name="Comma 4 2 5 5 2 3" xfId="13521" xr:uid="{CCEF093E-5DC5-4C3C-AA05-2902A1FAF5DE}"/>
    <cellStyle name="Comma 4 2 5 5 3" xfId="6267" xr:uid="{00000000-0005-0000-0000-0000F2080000}"/>
    <cellStyle name="Comma 4 2 5 5 3 2" xfId="15593" xr:uid="{3C592DD4-138A-48E6-8908-A86A673DC4FE}"/>
    <cellStyle name="Comma 4 2 5 5 4" xfId="11376" xr:uid="{64CA13A4-A1BD-4BF0-97BD-8A354E0821C1}"/>
    <cellStyle name="Comma 4 2 5 6" xfId="2396" xr:uid="{00000000-0005-0000-0000-0000F3080000}"/>
    <cellStyle name="Comma 4 2 5 6 2" xfId="6680" xr:uid="{00000000-0005-0000-0000-0000F4080000}"/>
    <cellStyle name="Comma 4 2 5 6 2 2" xfId="16006" xr:uid="{86B23EFA-1CD8-4D77-B0C1-B8903572F60C}"/>
    <cellStyle name="Comma 4 2 5 6 3" xfId="11789" xr:uid="{51C763B5-9FF3-48E8-A0A4-ED6442B859B5}"/>
    <cellStyle name="Comma 4 2 5 7" xfId="2367" xr:uid="{00000000-0005-0000-0000-0000F5080000}"/>
    <cellStyle name="Comma 4 2 5 8" xfId="2774" xr:uid="{00000000-0005-0000-0000-0000F6080000}"/>
    <cellStyle name="Comma 4 2 5 8 2" xfId="6997" xr:uid="{00000000-0005-0000-0000-0000F7080000}"/>
    <cellStyle name="Comma 4 2 5 8 2 2" xfId="16323" xr:uid="{43D37AB4-EE93-427E-8840-3156B33A26C8}"/>
    <cellStyle name="Comma 4 2 5 8 3" xfId="12106" xr:uid="{8B702140-3ED4-40A9-A52A-1A0A384C43EB}"/>
    <cellStyle name="Comma 4 2 5 9" xfId="4614" xr:uid="{00000000-0005-0000-0000-0000F8080000}"/>
    <cellStyle name="Comma 4 2 5 9 2" xfId="13940" xr:uid="{982CD8C2-8603-4B26-816D-2DAEC667753B}"/>
    <cellStyle name="Comma 4 2 6" xfId="143" xr:uid="{00000000-0005-0000-0000-0000F9080000}"/>
    <cellStyle name="Comma 4 2 6 10" xfId="9177" xr:uid="{A20A3B72-7630-464F-8E57-DA2B9D6E44FB}"/>
    <cellStyle name="Comma 4 2 6 11" xfId="9724" xr:uid="{A7D466D4-3E20-4B73-A148-AF48ADA5DDCA}"/>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F4BCD178-FD29-4EF1-BB59-DAA8F5B52E7A}"/>
    <cellStyle name="Comma 4 2 6 2 2 3" xfId="12283" xr:uid="{728BA510-0604-4CAE-97B3-688BBE1DCECF}"/>
    <cellStyle name="Comma 4 2 6 2 3" xfId="5029" xr:uid="{00000000-0005-0000-0000-0000FD080000}"/>
    <cellStyle name="Comma 4 2 6 2 3 2" xfId="14355" xr:uid="{AA450BFF-5BFB-479E-B844-DA706BE6CD50}"/>
    <cellStyle name="Comma 4 2 6 2 4" xfId="9594" xr:uid="{CCB8D3FE-19FC-4F7F-9966-44FD23A1A32A}"/>
    <cellStyle name="Comma 4 2 6 2 5" xfId="10138" xr:uid="{1A459591-DC89-4047-876C-56D9D302C85B}"/>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1B47DCDD-61B9-4BEF-8BA9-44CE2CE009B2}"/>
    <cellStyle name="Comma 4 2 6 3 2 3" xfId="12696" xr:uid="{55B82A6D-B689-4416-9708-B4154C181262}"/>
    <cellStyle name="Comma 4 2 6 3 3" xfId="5442" xr:uid="{00000000-0005-0000-0000-000001090000}"/>
    <cellStyle name="Comma 4 2 6 3 3 2" xfId="14768" xr:uid="{CACBBCEE-ACC1-418A-A560-1F0E8DAD670A}"/>
    <cellStyle name="Comma 4 2 6 3 4" xfId="10551" xr:uid="{E8D16349-CAB3-44A6-BF98-3296AB9D0FF7}"/>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4330DEC0-B01A-4506-B61B-92D8A7956EDE}"/>
    <cellStyle name="Comma 4 2 6 4 2 3" xfId="13109" xr:uid="{B10A9233-6458-4C49-A08D-6E97B37E5DB2}"/>
    <cellStyle name="Comma 4 2 6 4 3" xfId="5855" xr:uid="{00000000-0005-0000-0000-000005090000}"/>
    <cellStyle name="Comma 4 2 6 4 3 2" xfId="15181" xr:uid="{DFED97CE-4FCC-4419-8551-1B9511D71AE9}"/>
    <cellStyle name="Comma 4 2 6 4 4" xfId="10964" xr:uid="{B54CA9C0-34D1-4B09-B4A8-E0389023AE1F}"/>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E6736B4D-70E2-4757-9195-F9201D54DD25}"/>
    <cellStyle name="Comma 4 2 6 5 2 3" xfId="13522" xr:uid="{AD0BBD52-5987-4840-8379-4D35D22825CC}"/>
    <cellStyle name="Comma 4 2 6 5 3" xfId="6268" xr:uid="{00000000-0005-0000-0000-000009090000}"/>
    <cellStyle name="Comma 4 2 6 5 3 2" xfId="15594" xr:uid="{F1B73E45-D927-48CE-B852-BE2129AE05F1}"/>
    <cellStyle name="Comma 4 2 6 5 4" xfId="11377" xr:uid="{18A2D836-5046-40FF-92BB-3D828C6A8033}"/>
    <cellStyle name="Comma 4 2 6 6" xfId="2397" xr:uid="{00000000-0005-0000-0000-00000A090000}"/>
    <cellStyle name="Comma 4 2 6 6 2" xfId="6681" xr:uid="{00000000-0005-0000-0000-00000B090000}"/>
    <cellStyle name="Comma 4 2 6 6 2 2" xfId="16007" xr:uid="{BCBA4C5D-67DF-4691-93B4-1FABBDC90559}"/>
    <cellStyle name="Comma 4 2 6 6 3" xfId="11790" xr:uid="{4414ECC9-EAD8-4AFD-9E10-A1BC22BD2B77}"/>
    <cellStyle name="Comma 4 2 6 7" xfId="2366" xr:uid="{00000000-0005-0000-0000-00000C090000}"/>
    <cellStyle name="Comma 4 2 6 8" xfId="2775" xr:uid="{00000000-0005-0000-0000-00000D090000}"/>
    <cellStyle name="Comma 4 2 6 8 2" xfId="6998" xr:uid="{00000000-0005-0000-0000-00000E090000}"/>
    <cellStyle name="Comma 4 2 6 8 2 2" xfId="16324" xr:uid="{D1EBB59B-EEA6-41FD-8B1F-B1A6893D6DD8}"/>
    <cellStyle name="Comma 4 2 6 8 3" xfId="12107" xr:uid="{4231CEC7-5A23-40D0-96AC-4275B1BC08D3}"/>
    <cellStyle name="Comma 4 2 6 9" xfId="4615" xr:uid="{00000000-0005-0000-0000-00000F090000}"/>
    <cellStyle name="Comma 4 2 6 9 2" xfId="13941" xr:uid="{B92E6C32-4015-4A11-A61B-CE9AB9DD59ED}"/>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2FEC241A-84A2-408F-85B7-63DC5DA23E3D}"/>
    <cellStyle name="Comma 4 3 2 10 3" xfId="12108" xr:uid="{60517215-11F8-40EA-B9FD-0D3B1C636F49}"/>
    <cellStyle name="Comma 4 3 2 11" xfId="4616" xr:uid="{00000000-0005-0000-0000-000014090000}"/>
    <cellStyle name="Comma 4 3 2 11 2" xfId="13942" xr:uid="{C00046BA-04C2-4B0B-9B31-BC8EDA136ADC}"/>
    <cellStyle name="Comma 4 3 2 12" xfId="8807" xr:uid="{5C5EF314-D0DB-425B-AE7D-D52FEEE90EC1}"/>
    <cellStyle name="Comma 4 3 2 13" xfId="9725" xr:uid="{FCCFCA59-2596-424A-850A-82E7E9356C5D}"/>
    <cellStyle name="Comma 4 3 2 2" xfId="146" xr:uid="{00000000-0005-0000-0000-000015090000}"/>
    <cellStyle name="Comma 4 3 2 2 10" xfId="4617" xr:uid="{00000000-0005-0000-0000-000016090000}"/>
    <cellStyle name="Comma 4 3 2 2 10 2" xfId="13943" xr:uid="{F1D36F53-24A2-48F4-8F6A-3D1119483F66}"/>
    <cellStyle name="Comma 4 3 2 2 11" xfId="8910" xr:uid="{15019DD0-71A0-438D-B796-68DE42B22692}"/>
    <cellStyle name="Comma 4 3 2 2 12" xfId="9726" xr:uid="{6BEFF401-35A9-4D54-858A-FD989D76307C}"/>
    <cellStyle name="Comma 4 3 2 2 2" xfId="147" xr:uid="{00000000-0005-0000-0000-000017090000}"/>
    <cellStyle name="Comma 4 3 2 2 2 10" xfId="9117" xr:uid="{1409F531-DBF2-41E0-9C74-F9317358BA15}"/>
    <cellStyle name="Comma 4 3 2 2 2 11" xfId="9727" xr:uid="{7C355F3E-6FE6-4828-914B-DED0DCD192AD}"/>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91E25EAD-C3F6-4039-BF7F-FC636536C1FC}"/>
    <cellStyle name="Comma 4 3 2 2 2 2 2 3" xfId="12286" xr:uid="{790EE3DD-D567-47A6-98F6-188C80371E14}"/>
    <cellStyle name="Comma 4 3 2 2 2 2 3" xfId="5032" xr:uid="{00000000-0005-0000-0000-00001B090000}"/>
    <cellStyle name="Comma 4 3 2 2 2 2 3 2" xfId="14358" xr:uid="{6FAE3AC9-321A-42AC-A577-8C0C2C86DC3D}"/>
    <cellStyle name="Comma 4 3 2 2 2 2 4" xfId="9542" xr:uid="{26CD77CC-F017-4839-8245-BBF245D45E53}"/>
    <cellStyle name="Comma 4 3 2 2 2 2 5" xfId="10141" xr:uid="{F5B491DE-209A-42FE-955D-44FD45ACA672}"/>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22D0C1A6-B01E-4807-AD78-2B9E18ABF454}"/>
    <cellStyle name="Comma 4 3 2 2 2 3 2 3" xfId="12699" xr:uid="{AD220F7C-54EE-42CE-A2D1-4CB999A4C315}"/>
    <cellStyle name="Comma 4 3 2 2 2 3 3" xfId="5445" xr:uid="{00000000-0005-0000-0000-00001F090000}"/>
    <cellStyle name="Comma 4 3 2 2 2 3 3 2" xfId="14771" xr:uid="{6E3E6E84-7D90-4C2B-ABAA-E0446633BF81}"/>
    <cellStyle name="Comma 4 3 2 2 2 3 4" xfId="10554" xr:uid="{CCF47767-C009-4711-A44C-BF5499E30376}"/>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208F53DF-B7E4-454B-B4BB-EBCB2B047B74}"/>
    <cellStyle name="Comma 4 3 2 2 2 4 2 3" xfId="13112" xr:uid="{63DBE2B0-36EC-4929-910E-EFDF8E882EAF}"/>
    <cellStyle name="Comma 4 3 2 2 2 4 3" xfId="5858" xr:uid="{00000000-0005-0000-0000-000023090000}"/>
    <cellStyle name="Comma 4 3 2 2 2 4 3 2" xfId="15184" xr:uid="{E2E4C458-1A3C-4694-9643-CC693019E0C2}"/>
    <cellStyle name="Comma 4 3 2 2 2 4 4" xfId="10967" xr:uid="{1F16E8A3-D629-4F0A-AC2F-B8F590F4013F}"/>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2EF61E4E-6613-45D4-AA02-BDC793B14E14}"/>
    <cellStyle name="Comma 4 3 2 2 2 5 2 3" xfId="13525" xr:uid="{0ABB9379-BF0E-4E6F-AE5A-85BC73D9AE19}"/>
    <cellStyle name="Comma 4 3 2 2 2 5 3" xfId="6271" xr:uid="{00000000-0005-0000-0000-000027090000}"/>
    <cellStyle name="Comma 4 3 2 2 2 5 3 2" xfId="15597" xr:uid="{8C8C8E4E-619A-4769-97B8-8B96CD8623E9}"/>
    <cellStyle name="Comma 4 3 2 2 2 5 4" xfId="11380" xr:uid="{45B227BA-D97F-49A8-BCED-C89F41FEAD2E}"/>
    <cellStyle name="Comma 4 3 2 2 2 6" xfId="2400" xr:uid="{00000000-0005-0000-0000-000028090000}"/>
    <cellStyle name="Comma 4 3 2 2 2 6 2" xfId="6684" xr:uid="{00000000-0005-0000-0000-000029090000}"/>
    <cellStyle name="Comma 4 3 2 2 2 6 2 2" xfId="16010" xr:uid="{F5102BF1-D7E8-4470-92F8-56FD97080C6F}"/>
    <cellStyle name="Comma 4 3 2 2 2 6 3" xfId="11793" xr:uid="{3773D409-BC11-4295-9A6A-EA5753E3197C}"/>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D989AE62-AA18-49B9-8394-86F259F440BE}"/>
    <cellStyle name="Comma 4 3 2 2 2 8 3" xfId="12110" xr:uid="{140C9B06-0E62-4080-A582-6886EFEDBAB0}"/>
    <cellStyle name="Comma 4 3 2 2 2 9" xfId="4618" xr:uid="{00000000-0005-0000-0000-00002D090000}"/>
    <cellStyle name="Comma 4 3 2 2 2 9 2" xfId="13944" xr:uid="{C99217AD-738B-47E0-81C1-59C8E00D77A7}"/>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AF93C56E-E6EE-40E1-A0AA-8E67141877D2}"/>
    <cellStyle name="Comma 4 3 2 2 3 2 3" xfId="12285" xr:uid="{B20CA2EC-E57E-4700-A3DA-830551099CD2}"/>
    <cellStyle name="Comma 4 3 2 2 3 3" xfId="5031" xr:uid="{00000000-0005-0000-0000-000031090000}"/>
    <cellStyle name="Comma 4 3 2 2 3 3 2" xfId="14357" xr:uid="{EDAD4F92-3041-485C-83E1-FA59FBAAD6D7}"/>
    <cellStyle name="Comma 4 3 2 2 3 4" xfId="9335" xr:uid="{BACD532B-C811-4076-B107-03E74D1B7113}"/>
    <cellStyle name="Comma 4 3 2 2 3 5" xfId="10140" xr:uid="{102E66B1-70CD-4DA0-AA93-D78436967489}"/>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367C54A3-6296-4314-AE8D-0945CF086301}"/>
    <cellStyle name="Comma 4 3 2 2 4 2 3" xfId="12698" xr:uid="{9E348B7E-F56E-4D1E-9353-DC470278E00D}"/>
    <cellStyle name="Comma 4 3 2 2 4 3" xfId="5444" xr:uid="{00000000-0005-0000-0000-000035090000}"/>
    <cellStyle name="Comma 4 3 2 2 4 3 2" xfId="14770" xr:uid="{53B2A98F-ABEB-4CDF-AD27-98E102A9B9C0}"/>
    <cellStyle name="Comma 4 3 2 2 4 4" xfId="10553" xr:uid="{6A7F58A8-0673-4163-A180-E4B4CEEBE295}"/>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C43FBBA6-00DF-46C3-A44A-51643BA66260}"/>
    <cellStyle name="Comma 4 3 2 2 5 2 3" xfId="13111" xr:uid="{B819A83F-00C7-4D91-8243-2815E62D7C4B}"/>
    <cellStyle name="Comma 4 3 2 2 5 3" xfId="5857" xr:uid="{00000000-0005-0000-0000-000039090000}"/>
    <cellStyle name="Comma 4 3 2 2 5 3 2" xfId="15183" xr:uid="{14D4DB01-CF5C-4BD7-B30B-65315C2656FB}"/>
    <cellStyle name="Comma 4 3 2 2 5 4" xfId="10966" xr:uid="{5ADE4491-9A4D-4289-8F4B-EF0A4FB389E4}"/>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67E7E6D5-4DB9-4346-90F6-1AC78AC4FC51}"/>
    <cellStyle name="Comma 4 3 2 2 6 2 3" xfId="13524" xr:uid="{231C1DCD-505A-412B-AB32-71CB4AB1FEA0}"/>
    <cellStyle name="Comma 4 3 2 2 6 3" xfId="6270" xr:uid="{00000000-0005-0000-0000-00003D090000}"/>
    <cellStyle name="Comma 4 3 2 2 6 3 2" xfId="15596" xr:uid="{A9D3467A-1E21-4F99-9EBE-EC65E437742B}"/>
    <cellStyle name="Comma 4 3 2 2 6 4" xfId="11379" xr:uid="{2C15B4B5-D522-4BEF-BCF9-21A12A90C304}"/>
    <cellStyle name="Comma 4 3 2 2 7" xfId="2399" xr:uid="{00000000-0005-0000-0000-00003E090000}"/>
    <cellStyle name="Comma 4 3 2 2 7 2" xfId="6683" xr:uid="{00000000-0005-0000-0000-00003F090000}"/>
    <cellStyle name="Comma 4 3 2 2 7 2 2" xfId="16009" xr:uid="{4DDE8DE6-DB6A-4170-AEB0-3E666C873540}"/>
    <cellStyle name="Comma 4 3 2 2 7 3" xfId="11792" xr:uid="{4EE829CF-FB8B-41E3-A80F-E5C3C6F7F1EF}"/>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700580BA-01A1-4FF5-951D-C15AA87ADB1E}"/>
    <cellStyle name="Comma 4 3 2 2 9 3" xfId="12109" xr:uid="{80BDA104-9310-437C-B6F7-109B624173F2}"/>
    <cellStyle name="Comma 4 3 2 3" xfId="148" xr:uid="{00000000-0005-0000-0000-000043090000}"/>
    <cellStyle name="Comma 4 3 2 3 10" xfId="9014" xr:uid="{46568903-2C47-4BC3-8E78-5A47F62B319C}"/>
    <cellStyle name="Comma 4 3 2 3 11" xfId="9728" xr:uid="{0425BC1B-497A-42B2-B322-C1B0A135656D}"/>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C49A3ADF-6C3F-4D14-974E-62B8262B2A85}"/>
    <cellStyle name="Comma 4 3 2 3 2 2 3" xfId="12287" xr:uid="{4833AABB-C0E1-41C3-A8F6-92F18461F595}"/>
    <cellStyle name="Comma 4 3 2 3 2 3" xfId="5033" xr:uid="{00000000-0005-0000-0000-000047090000}"/>
    <cellStyle name="Comma 4 3 2 3 2 3 2" xfId="14359" xr:uid="{84F83B20-7660-4F41-BBB6-91FB9C3E3717}"/>
    <cellStyle name="Comma 4 3 2 3 2 4" xfId="9439" xr:uid="{2FD116B5-6902-4630-AFC5-CC8B06C5F457}"/>
    <cellStyle name="Comma 4 3 2 3 2 5" xfId="10142" xr:uid="{10F61E2A-31EF-4FD3-A799-0089EA2BED2C}"/>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96250A9A-D1D6-47E6-B52D-0B5972FDFA45}"/>
    <cellStyle name="Comma 4 3 2 3 3 2 3" xfId="12700" xr:uid="{7647A36A-018B-4E80-9E26-1D89D1AA3328}"/>
    <cellStyle name="Comma 4 3 2 3 3 3" xfId="5446" xr:uid="{00000000-0005-0000-0000-00004B090000}"/>
    <cellStyle name="Comma 4 3 2 3 3 3 2" xfId="14772" xr:uid="{F460F266-2678-4337-8E6B-A6AE5F138415}"/>
    <cellStyle name="Comma 4 3 2 3 3 4" xfId="10555" xr:uid="{E09EDC37-FFEB-4CE7-8AA7-AF1FF56862CD}"/>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3D8FE157-9594-4CA8-B202-E7CCCE0F9DB0}"/>
    <cellStyle name="Comma 4 3 2 3 4 2 3" xfId="13113" xr:uid="{602E0954-1CFD-41A9-8705-1DE20041BF24}"/>
    <cellStyle name="Comma 4 3 2 3 4 3" xfId="5859" xr:uid="{00000000-0005-0000-0000-00004F090000}"/>
    <cellStyle name="Comma 4 3 2 3 4 3 2" xfId="15185" xr:uid="{ECEBE3FA-9A0E-4E91-ADC3-6AF7773BA0D4}"/>
    <cellStyle name="Comma 4 3 2 3 4 4" xfId="10968" xr:uid="{7D4E1400-59FF-4740-86B3-8E62DC9139D2}"/>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80E698F3-9107-4891-A2B8-FB00172A3EA1}"/>
    <cellStyle name="Comma 4 3 2 3 5 2 3" xfId="13526" xr:uid="{BC25208E-D38D-4DBD-B938-47A359294BC6}"/>
    <cellStyle name="Comma 4 3 2 3 5 3" xfId="6272" xr:uid="{00000000-0005-0000-0000-000053090000}"/>
    <cellStyle name="Comma 4 3 2 3 5 3 2" xfId="15598" xr:uid="{B93F6775-B010-4854-9277-0AD6044AAD26}"/>
    <cellStyle name="Comma 4 3 2 3 5 4" xfId="11381" xr:uid="{33CBE9FB-7A93-4E4E-B01C-691296D5BA6E}"/>
    <cellStyle name="Comma 4 3 2 3 6" xfId="2401" xr:uid="{00000000-0005-0000-0000-000054090000}"/>
    <cellStyle name="Comma 4 3 2 3 6 2" xfId="6685" xr:uid="{00000000-0005-0000-0000-000055090000}"/>
    <cellStyle name="Comma 4 3 2 3 6 2 2" xfId="16011" xr:uid="{A5D4EBCC-F54D-4644-85E7-FE39D3D321EB}"/>
    <cellStyle name="Comma 4 3 2 3 6 3" xfId="11794" xr:uid="{1D1464B6-C9D8-4BDF-959E-C7BE03C89AFA}"/>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793B2431-44A5-46A4-A4A7-EE0832133B0D}"/>
    <cellStyle name="Comma 4 3 2 3 8 3" xfId="12111" xr:uid="{2449C55E-9D68-4D0A-BAD2-0BE79C9CC660}"/>
    <cellStyle name="Comma 4 3 2 3 9" xfId="4619" xr:uid="{00000000-0005-0000-0000-000059090000}"/>
    <cellStyle name="Comma 4 3 2 3 9 2" xfId="13945" xr:uid="{DE5B5B02-7A11-482F-8DF7-E5A64DF70B79}"/>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90D66DA8-038F-4CA7-AD3E-48FEEF1E185A}"/>
    <cellStyle name="Comma 4 3 2 4 2 3" xfId="12284" xr:uid="{0B0786BE-AF43-483A-85C9-DE2B91078D3D}"/>
    <cellStyle name="Comma 4 3 2 4 3" xfId="5030" xr:uid="{00000000-0005-0000-0000-00005D090000}"/>
    <cellStyle name="Comma 4 3 2 4 3 2" xfId="14356" xr:uid="{D0BDF6B8-61D1-40E8-85B8-19B68A02823C}"/>
    <cellStyle name="Comma 4 3 2 4 4" xfId="9232" xr:uid="{8193451B-D8F0-40BD-91ED-34E7041117F6}"/>
    <cellStyle name="Comma 4 3 2 4 5" xfId="10139" xr:uid="{2E1A2060-37AC-4C12-B955-3F454326BC73}"/>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03A150B2-4ED6-4531-8B79-BBF57CC503AD}"/>
    <cellStyle name="Comma 4 3 2 5 2 3" xfId="12697" xr:uid="{8703217D-507C-4AEB-8432-9B1FD72463C5}"/>
    <cellStyle name="Comma 4 3 2 5 3" xfId="5443" xr:uid="{00000000-0005-0000-0000-000061090000}"/>
    <cellStyle name="Comma 4 3 2 5 3 2" xfId="14769" xr:uid="{28A5CDF0-7FF8-443A-A21B-85122F815457}"/>
    <cellStyle name="Comma 4 3 2 5 4" xfId="10552" xr:uid="{3F2D4267-2E2F-46EC-BE9C-85F13126D0FF}"/>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DE009804-DCE8-4BAE-8C4A-E8DF646BB0A5}"/>
    <cellStyle name="Comma 4 3 2 6 2 3" xfId="13110" xr:uid="{D57ACB6D-582D-4FDF-B073-87FA98B0DFCC}"/>
    <cellStyle name="Comma 4 3 2 6 3" xfId="5856" xr:uid="{00000000-0005-0000-0000-000065090000}"/>
    <cellStyle name="Comma 4 3 2 6 3 2" xfId="15182" xr:uid="{41F390B2-02BE-49FF-95E3-64D1A4AE0C0C}"/>
    <cellStyle name="Comma 4 3 2 6 4" xfId="10965" xr:uid="{98A86A41-A8A3-4A3B-93F1-A71AD9751F95}"/>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CDC33EAB-0FB2-457D-907D-D301676172C0}"/>
    <cellStyle name="Comma 4 3 2 7 2 3" xfId="13523" xr:uid="{C8DDD484-8C4D-4879-8865-5A225911B477}"/>
    <cellStyle name="Comma 4 3 2 7 3" xfId="6269" xr:uid="{00000000-0005-0000-0000-000069090000}"/>
    <cellStyle name="Comma 4 3 2 7 3 2" xfId="15595" xr:uid="{6848236C-6B1A-4980-A568-4414D42434C6}"/>
    <cellStyle name="Comma 4 3 2 7 4" xfId="11378" xr:uid="{7337A273-5C10-40BC-88DC-2C8474B1B20F}"/>
    <cellStyle name="Comma 4 3 2 8" xfId="2398" xr:uid="{00000000-0005-0000-0000-00006A090000}"/>
    <cellStyle name="Comma 4 3 2 8 2" xfId="6682" xr:uid="{00000000-0005-0000-0000-00006B090000}"/>
    <cellStyle name="Comma 4 3 2 8 2 2" xfId="16008" xr:uid="{F9049121-E2A9-4C1E-8F6E-3612B9F269C2}"/>
    <cellStyle name="Comma 4 3 2 8 3" xfId="11791" xr:uid="{6748A923-F493-46DB-A904-84ED85FAFD9C}"/>
    <cellStyle name="Comma 4 3 2 9" xfId="2365" xr:uid="{00000000-0005-0000-0000-00006C090000}"/>
    <cellStyle name="Comma 4 3 3" xfId="149" xr:uid="{00000000-0005-0000-0000-00006D090000}"/>
    <cellStyle name="Comma 4 3 3 10" xfId="4620" xr:uid="{00000000-0005-0000-0000-00006E090000}"/>
    <cellStyle name="Comma 4 3 3 10 2" xfId="13946" xr:uid="{F0A5E7F8-D513-4ECC-B597-7CB9779CB001}"/>
    <cellStyle name="Comma 4 3 3 11" xfId="8881" xr:uid="{ACA3BC7C-CED7-49C2-9DC3-E2A3989962E9}"/>
    <cellStyle name="Comma 4 3 3 12" xfId="9729" xr:uid="{9FF1EECF-4344-48B8-B4F1-48A942C04764}"/>
    <cellStyle name="Comma 4 3 3 2" xfId="150" xr:uid="{00000000-0005-0000-0000-00006F090000}"/>
    <cellStyle name="Comma 4 3 3 2 10" xfId="9088" xr:uid="{D40CFC42-DEA3-4A4C-8532-2B6CFC29229D}"/>
    <cellStyle name="Comma 4 3 3 2 11" xfId="9730" xr:uid="{597FC1C3-C109-48E1-B92F-D7565205600F}"/>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4C2451E0-E950-44C2-A479-140040F0CDF9}"/>
    <cellStyle name="Comma 4 3 3 2 2 2 3" xfId="12289" xr:uid="{9F3DAE8D-2486-4D69-8659-3E1B13672491}"/>
    <cellStyle name="Comma 4 3 3 2 2 3" xfId="5035" xr:uid="{00000000-0005-0000-0000-000073090000}"/>
    <cellStyle name="Comma 4 3 3 2 2 3 2" xfId="14361" xr:uid="{F13C7D34-8213-42A8-B1AD-122557FB1120}"/>
    <cellStyle name="Comma 4 3 3 2 2 4" xfId="9513" xr:uid="{986E0DAD-8ABC-4DAC-9C56-EF87B6B3B829}"/>
    <cellStyle name="Comma 4 3 3 2 2 5" xfId="10144" xr:uid="{EA4C1D67-68B9-44BD-98D1-2F5BD146E986}"/>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F13C66CA-0578-4DA6-9860-34ADB653F67D}"/>
    <cellStyle name="Comma 4 3 3 2 3 2 3" xfId="12702" xr:uid="{3558BC2D-A17E-4B5F-AF12-9BCA56648D5B}"/>
    <cellStyle name="Comma 4 3 3 2 3 3" xfId="5448" xr:uid="{00000000-0005-0000-0000-000077090000}"/>
    <cellStyle name="Comma 4 3 3 2 3 3 2" xfId="14774" xr:uid="{F95C4CE0-7464-4E54-B2E9-E7A2AFC77BDF}"/>
    <cellStyle name="Comma 4 3 3 2 3 4" xfId="10557" xr:uid="{ACC6731F-3CF8-443B-8BD4-AEB1BCCF2F55}"/>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9D40DC23-B252-4D68-8786-6CA267916803}"/>
    <cellStyle name="Comma 4 3 3 2 4 2 3" xfId="13115" xr:uid="{4FEA7C0E-C3F9-4914-B695-63BAD219B902}"/>
    <cellStyle name="Comma 4 3 3 2 4 3" xfId="5861" xr:uid="{00000000-0005-0000-0000-00007B090000}"/>
    <cellStyle name="Comma 4 3 3 2 4 3 2" xfId="15187" xr:uid="{A13326D3-B6CE-4782-A41A-806882298548}"/>
    <cellStyle name="Comma 4 3 3 2 4 4" xfId="10970" xr:uid="{38B7935D-56A8-4E91-A81D-B2EF66C341BA}"/>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5C8B43D1-B2C6-4713-B1AA-EE6C13384151}"/>
    <cellStyle name="Comma 4 3 3 2 5 2 3" xfId="13528" xr:uid="{FD88B670-2E3E-4EFD-B714-1434CD0F59E9}"/>
    <cellStyle name="Comma 4 3 3 2 5 3" xfId="6274" xr:uid="{00000000-0005-0000-0000-00007F090000}"/>
    <cellStyle name="Comma 4 3 3 2 5 3 2" xfId="15600" xr:uid="{EAE9F4D3-5D09-42A1-B4AE-5962C4AD9A68}"/>
    <cellStyle name="Comma 4 3 3 2 5 4" xfId="11383" xr:uid="{5EB6BCF2-AE08-4E32-94A9-1C0A75A32A46}"/>
    <cellStyle name="Comma 4 3 3 2 6" xfId="2403" xr:uid="{00000000-0005-0000-0000-000080090000}"/>
    <cellStyle name="Comma 4 3 3 2 6 2" xfId="6687" xr:uid="{00000000-0005-0000-0000-000081090000}"/>
    <cellStyle name="Comma 4 3 3 2 6 2 2" xfId="16013" xr:uid="{CD02EBC3-9CAA-459A-A46C-E221C02DB9C3}"/>
    <cellStyle name="Comma 4 3 3 2 6 3" xfId="11796" xr:uid="{80BA3C65-CEDA-4D5F-84FE-D523335020AB}"/>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A2900F3F-1C06-4523-9D8A-7B98601394E9}"/>
    <cellStyle name="Comma 4 3 3 2 8 3" xfId="12113" xr:uid="{D3ACCB74-68E2-4415-95E6-62D38D47ED45}"/>
    <cellStyle name="Comma 4 3 3 2 9" xfId="4621" xr:uid="{00000000-0005-0000-0000-000085090000}"/>
    <cellStyle name="Comma 4 3 3 2 9 2" xfId="13947" xr:uid="{1A5FFA14-5337-48CD-A9E0-29FC3A55996C}"/>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EA5871F8-CB69-4AD8-B126-BCDFD5F1623D}"/>
    <cellStyle name="Comma 4 3 3 3 2 3" xfId="12288" xr:uid="{FBC75DF4-1AE1-42C0-9C3E-5AEB3F1FFFE2}"/>
    <cellStyle name="Comma 4 3 3 3 3" xfId="5034" xr:uid="{00000000-0005-0000-0000-000089090000}"/>
    <cellStyle name="Comma 4 3 3 3 3 2" xfId="14360" xr:uid="{80F325D9-F5C7-4054-96F3-B0804AEBEE5B}"/>
    <cellStyle name="Comma 4 3 3 3 4" xfId="9306" xr:uid="{6AC2749B-EC1D-4760-AD4B-F36381A669B6}"/>
    <cellStyle name="Comma 4 3 3 3 5" xfId="10143" xr:uid="{3760A5F6-9218-4C82-AE13-EC60995D425A}"/>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67AAF56A-16C5-4B19-B20C-3DC554AE0C3D}"/>
    <cellStyle name="Comma 4 3 3 4 2 3" xfId="12701" xr:uid="{D4E6161B-0E22-4012-BC7C-EA5FA1241297}"/>
    <cellStyle name="Comma 4 3 3 4 3" xfId="5447" xr:uid="{00000000-0005-0000-0000-00008D090000}"/>
    <cellStyle name="Comma 4 3 3 4 3 2" xfId="14773" xr:uid="{570BDCCC-A44D-4C8A-ABC0-45832731CA4D}"/>
    <cellStyle name="Comma 4 3 3 4 4" xfId="10556" xr:uid="{EBD566DB-7AEF-476D-B970-A626D9D89F0C}"/>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DFFEA760-D058-4218-88C7-DB177A363ED6}"/>
    <cellStyle name="Comma 4 3 3 5 2 3" xfId="13114" xr:uid="{6989028C-FBD1-43C7-9709-059DF41657C8}"/>
    <cellStyle name="Comma 4 3 3 5 3" xfId="5860" xr:uid="{00000000-0005-0000-0000-000091090000}"/>
    <cellStyle name="Comma 4 3 3 5 3 2" xfId="15186" xr:uid="{BFEA3E6A-DCF9-4109-A63A-5B395DA69394}"/>
    <cellStyle name="Comma 4 3 3 5 4" xfId="10969" xr:uid="{556D97D3-0C44-46E3-8C3A-B7200065E109}"/>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D9C29243-922E-4A9C-8682-E7E4D4387EA5}"/>
    <cellStyle name="Comma 4 3 3 6 2 3" xfId="13527" xr:uid="{D04BAE8F-0B59-453F-96CD-0DF8308C54D7}"/>
    <cellStyle name="Comma 4 3 3 6 3" xfId="6273" xr:uid="{00000000-0005-0000-0000-000095090000}"/>
    <cellStyle name="Comma 4 3 3 6 3 2" xfId="15599" xr:uid="{1961D793-381F-44B0-B791-B89ACAF8A64B}"/>
    <cellStyle name="Comma 4 3 3 6 4" xfId="11382" xr:uid="{C74CE554-7955-4DD1-87FB-F5C457EBA3D8}"/>
    <cellStyle name="Comma 4 3 3 7" xfId="2402" xr:uid="{00000000-0005-0000-0000-000096090000}"/>
    <cellStyle name="Comma 4 3 3 7 2" xfId="6686" xr:uid="{00000000-0005-0000-0000-000097090000}"/>
    <cellStyle name="Comma 4 3 3 7 2 2" xfId="16012" xr:uid="{341A1F0B-9B8D-421C-9074-123EC506A82A}"/>
    <cellStyle name="Comma 4 3 3 7 3" xfId="11795" xr:uid="{D440492E-42DC-4898-825F-A390A85EDDA3}"/>
    <cellStyle name="Comma 4 3 3 8" xfId="2361" xr:uid="{00000000-0005-0000-0000-000098090000}"/>
    <cellStyle name="Comma 4 3 3 9" xfId="2780" xr:uid="{00000000-0005-0000-0000-000099090000}"/>
    <cellStyle name="Comma 4 3 3 9 2" xfId="7003" xr:uid="{00000000-0005-0000-0000-00009A090000}"/>
    <cellStyle name="Comma 4 3 3 9 2 2" xfId="16329" xr:uid="{DCDEC389-CAF9-4EAE-AFBF-F93B726EBDBD}"/>
    <cellStyle name="Comma 4 3 3 9 3" xfId="12112" xr:uid="{4C048148-C4E7-4195-B243-CB19269D5B92}"/>
    <cellStyle name="Comma 4 3 4" xfId="151" xr:uid="{00000000-0005-0000-0000-00009B090000}"/>
    <cellStyle name="Comma 4 3 4 10" xfId="8985" xr:uid="{E965CEC1-A932-4F91-9E18-794CBF7DC7FC}"/>
    <cellStyle name="Comma 4 3 4 11" xfId="9731" xr:uid="{63B7CAA5-B60E-44D9-994A-7643E45B35CA}"/>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2AC81CE2-7788-4DED-AC99-3F105615E94D}"/>
    <cellStyle name="Comma 4 3 4 2 2 3" xfId="12290" xr:uid="{FAC5D818-9E32-4AAA-8921-83213E1517FC}"/>
    <cellStyle name="Comma 4 3 4 2 3" xfId="5036" xr:uid="{00000000-0005-0000-0000-00009F090000}"/>
    <cellStyle name="Comma 4 3 4 2 3 2" xfId="14362" xr:uid="{E3F057CD-2FD6-4EEA-BE52-092618ED709F}"/>
    <cellStyle name="Comma 4 3 4 2 4" xfId="9410" xr:uid="{54DEC146-6204-4AAF-A15F-BAC0A12B5984}"/>
    <cellStyle name="Comma 4 3 4 2 5" xfId="10145" xr:uid="{29020284-A13E-4035-AC51-E213162471E6}"/>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305B683C-7EB5-4D3E-9AA7-D50B6B4D5905}"/>
    <cellStyle name="Comma 4 3 4 3 2 3" xfId="12703" xr:uid="{7092BD3E-97C3-4CE6-A604-DB29C87AE31C}"/>
    <cellStyle name="Comma 4 3 4 3 3" xfId="5449" xr:uid="{00000000-0005-0000-0000-0000A3090000}"/>
    <cellStyle name="Comma 4 3 4 3 3 2" xfId="14775" xr:uid="{852D5DBE-61B1-4155-8518-BE7079E500DB}"/>
    <cellStyle name="Comma 4 3 4 3 4" xfId="10558" xr:uid="{1B92574B-FCCE-48F1-B103-E99E3ED79881}"/>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AC296450-F90A-4461-9626-E8E8FD0390C4}"/>
    <cellStyle name="Comma 4 3 4 4 2 3" xfId="13116" xr:uid="{9F8BE2C6-4370-4258-B40D-519D9F2DE418}"/>
    <cellStyle name="Comma 4 3 4 4 3" xfId="5862" xr:uid="{00000000-0005-0000-0000-0000A7090000}"/>
    <cellStyle name="Comma 4 3 4 4 3 2" xfId="15188" xr:uid="{79268E48-A30C-4E24-812F-F2D2ADDB8C7B}"/>
    <cellStyle name="Comma 4 3 4 4 4" xfId="10971" xr:uid="{DB7ED5B0-AA05-4BDD-AADD-B4511B4B19AD}"/>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F65D58E1-9C15-4B37-A085-F28432D042C7}"/>
    <cellStyle name="Comma 4 3 4 5 2 3" xfId="13529" xr:uid="{6A3B25AA-28F7-44B1-965F-4C547F6F0C8C}"/>
    <cellStyle name="Comma 4 3 4 5 3" xfId="6275" xr:uid="{00000000-0005-0000-0000-0000AB090000}"/>
    <cellStyle name="Comma 4 3 4 5 3 2" xfId="15601" xr:uid="{53D950D7-3F40-49BF-9E85-B6F4041D3F9D}"/>
    <cellStyle name="Comma 4 3 4 5 4" xfId="11384" xr:uid="{6668C9AF-C763-4896-A7C0-D7CC798ECFDA}"/>
    <cellStyle name="Comma 4 3 4 6" xfId="2404" xr:uid="{00000000-0005-0000-0000-0000AC090000}"/>
    <cellStyle name="Comma 4 3 4 6 2" xfId="6688" xr:uid="{00000000-0005-0000-0000-0000AD090000}"/>
    <cellStyle name="Comma 4 3 4 6 2 2" xfId="16014" xr:uid="{B7CAEE0A-029A-4544-AF54-6847E0A2C985}"/>
    <cellStyle name="Comma 4 3 4 6 3" xfId="11797" xr:uid="{BFDD85DC-7260-425F-81F1-BF5FBCEBEF44}"/>
    <cellStyle name="Comma 4 3 4 7" xfId="2700" xr:uid="{00000000-0005-0000-0000-0000AE090000}"/>
    <cellStyle name="Comma 4 3 4 8" xfId="2782" xr:uid="{00000000-0005-0000-0000-0000AF090000}"/>
    <cellStyle name="Comma 4 3 4 8 2" xfId="7005" xr:uid="{00000000-0005-0000-0000-0000B0090000}"/>
    <cellStyle name="Comma 4 3 4 8 2 2" xfId="16331" xr:uid="{2D6CCBF9-0CE0-45B2-95AA-78251058E431}"/>
    <cellStyle name="Comma 4 3 4 8 3" xfId="12114" xr:uid="{FDECE7D5-9C1E-42AE-8366-76198A30979A}"/>
    <cellStyle name="Comma 4 3 4 9" xfId="4622" xr:uid="{00000000-0005-0000-0000-0000B1090000}"/>
    <cellStyle name="Comma 4 3 4 9 2" xfId="13948" xr:uid="{0186A889-B4F0-4434-8515-B27250481C42}"/>
    <cellStyle name="Comma 4 3 5" xfId="152" xr:uid="{00000000-0005-0000-0000-0000B2090000}"/>
    <cellStyle name="Comma 4 3 5 10" xfId="9202" xr:uid="{BF5456DA-E11C-47BD-8210-21F45D9E5F79}"/>
    <cellStyle name="Comma 4 3 5 11" xfId="9732" xr:uid="{C29CC0D3-41F8-4399-AE7E-742B0E063F4E}"/>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321E13B9-EAC9-42CB-B780-1E058842351F}"/>
    <cellStyle name="Comma 4 3 5 2 2 3" xfId="12291" xr:uid="{5DE3D04D-7687-479B-9DFC-0F74D562F4AE}"/>
    <cellStyle name="Comma 4 3 5 2 3" xfId="5037" xr:uid="{00000000-0005-0000-0000-0000B6090000}"/>
    <cellStyle name="Comma 4 3 5 2 3 2" xfId="14363" xr:uid="{4C670737-BDF2-41FD-99C6-3CDF099EA909}"/>
    <cellStyle name="Comma 4 3 5 2 4" xfId="9595" xr:uid="{3E6BF710-D2EA-4AFB-83F1-C6BF1C2192FF}"/>
    <cellStyle name="Comma 4 3 5 2 5" xfId="10146" xr:uid="{97A62A40-0B5D-4827-BE88-4AC0F7D9F8CC}"/>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C3F48820-C191-4D68-BF64-F6DDB63C0292}"/>
    <cellStyle name="Comma 4 3 5 3 2 3" xfId="12704" xr:uid="{7D251E4B-D829-4C8C-9812-3BDE61A0A293}"/>
    <cellStyle name="Comma 4 3 5 3 3" xfId="5450" xr:uid="{00000000-0005-0000-0000-0000BA090000}"/>
    <cellStyle name="Comma 4 3 5 3 3 2" xfId="14776" xr:uid="{9C820126-9C15-4ED6-8140-1724FF5AA7D3}"/>
    <cellStyle name="Comma 4 3 5 3 4" xfId="10559" xr:uid="{2EB065FA-294C-4EE9-AB11-12AE9B196D3D}"/>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FC5531EA-D91B-4FA8-839A-41778C36E2AA}"/>
    <cellStyle name="Comma 4 3 5 4 2 3" xfId="13117" xr:uid="{1E268D27-4894-4E6D-A944-ACA22BD5B862}"/>
    <cellStyle name="Comma 4 3 5 4 3" xfId="5863" xr:uid="{00000000-0005-0000-0000-0000BE090000}"/>
    <cellStyle name="Comma 4 3 5 4 3 2" xfId="15189" xr:uid="{D0E3FBB9-38C0-45F1-B3BA-209EBFA1EEEB}"/>
    <cellStyle name="Comma 4 3 5 4 4" xfId="10972" xr:uid="{319A4D2B-2AA0-4E77-909A-1C26A6553951}"/>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481BAB1F-6189-47FF-93C3-7DCD015334E8}"/>
    <cellStyle name="Comma 4 3 5 5 2 3" xfId="13530" xr:uid="{1D0379AE-AD96-42C8-868D-470ABB6F5A51}"/>
    <cellStyle name="Comma 4 3 5 5 3" xfId="6276" xr:uid="{00000000-0005-0000-0000-0000C2090000}"/>
    <cellStyle name="Comma 4 3 5 5 3 2" xfId="15602" xr:uid="{6CCA9578-275B-42B2-9CB8-77B642C5BF2A}"/>
    <cellStyle name="Comma 4 3 5 5 4" xfId="11385" xr:uid="{A905D74B-D3B6-483F-B63C-54BD1BCB2910}"/>
    <cellStyle name="Comma 4 3 5 6" xfId="2405" xr:uid="{00000000-0005-0000-0000-0000C3090000}"/>
    <cellStyle name="Comma 4 3 5 6 2" xfId="6689" xr:uid="{00000000-0005-0000-0000-0000C4090000}"/>
    <cellStyle name="Comma 4 3 5 6 2 2" xfId="16015" xr:uid="{6B33515A-0989-4105-A66C-7AFD67157967}"/>
    <cellStyle name="Comma 4 3 5 6 3" xfId="11798" xr:uid="{FE11EBEC-41E8-4851-9360-D360FD22DD8F}"/>
    <cellStyle name="Comma 4 3 5 7" xfId="2701" xr:uid="{00000000-0005-0000-0000-0000C5090000}"/>
    <cellStyle name="Comma 4 3 5 8" xfId="2783" xr:uid="{00000000-0005-0000-0000-0000C6090000}"/>
    <cellStyle name="Comma 4 3 5 8 2" xfId="7006" xr:uid="{00000000-0005-0000-0000-0000C7090000}"/>
    <cellStyle name="Comma 4 3 5 8 2 2" xfId="16332" xr:uid="{F0121750-E169-4B7E-9A00-8BEDD846772C}"/>
    <cellStyle name="Comma 4 3 5 8 3" xfId="12115" xr:uid="{0F139F82-9588-49D3-A560-1A4941EB88D9}"/>
    <cellStyle name="Comma 4 3 5 9" xfId="4623" xr:uid="{00000000-0005-0000-0000-0000C8090000}"/>
    <cellStyle name="Comma 4 3 5 9 2" xfId="13949" xr:uid="{D218972C-5229-43BD-8CE7-A6D6E4736E04}"/>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E0A53157-AF82-44C7-B7CC-1D4C305AC39B}"/>
    <cellStyle name="Comma 4 4 10 3" xfId="12116" xr:uid="{7276CFF4-AFD4-4342-87AF-02299A6CBFA0}"/>
    <cellStyle name="Comma 4 4 11" xfId="4624" xr:uid="{00000000-0005-0000-0000-0000CC090000}"/>
    <cellStyle name="Comma 4 4 11 2" xfId="13950" xr:uid="{7FE0C605-ECDE-46A7-B659-4C80839D0236}"/>
    <cellStyle name="Comma 4 4 12" xfId="8804" xr:uid="{A2BB6322-7771-45CD-845C-77E2FE03AC7A}"/>
    <cellStyle name="Comma 4 4 13" xfId="9733" xr:uid="{9379F7AB-BAE9-4E3F-8B3A-5828455D53FF}"/>
    <cellStyle name="Comma 4 4 2" xfId="154" xr:uid="{00000000-0005-0000-0000-0000CD090000}"/>
    <cellStyle name="Comma 4 4 2 10" xfId="4625" xr:uid="{00000000-0005-0000-0000-0000CE090000}"/>
    <cellStyle name="Comma 4 4 2 10 2" xfId="13951" xr:uid="{2F8E923C-A3D3-4DA4-B295-0CDA090C704B}"/>
    <cellStyle name="Comma 4 4 2 11" xfId="8907" xr:uid="{F9F87618-3BA1-4211-A686-62CF5BBA5770}"/>
    <cellStyle name="Comma 4 4 2 12" xfId="9734" xr:uid="{93BFDE25-C7EB-4569-A14F-C78B9BB3D0A3}"/>
    <cellStyle name="Comma 4 4 2 2" xfId="155" xr:uid="{00000000-0005-0000-0000-0000CF090000}"/>
    <cellStyle name="Comma 4 4 2 2 10" xfId="9114" xr:uid="{871FAC03-A44E-4C24-806C-3CC0605FD124}"/>
    <cellStyle name="Comma 4 4 2 2 11" xfId="9735" xr:uid="{5DE7F903-18EE-422F-89E1-05822F39CCC5}"/>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8449F053-831A-4E98-9365-7B4DDBF9A377}"/>
    <cellStyle name="Comma 4 4 2 2 2 2 3" xfId="12294" xr:uid="{23F438F0-A03A-4918-B430-9AC308E75B82}"/>
    <cellStyle name="Comma 4 4 2 2 2 3" xfId="5040" xr:uid="{00000000-0005-0000-0000-0000D3090000}"/>
    <cellStyle name="Comma 4 4 2 2 2 3 2" xfId="14366" xr:uid="{64551CD7-590B-462F-AE93-1A6E2C025031}"/>
    <cellStyle name="Comma 4 4 2 2 2 4" xfId="9539" xr:uid="{6209A471-8158-46C6-9ADA-C828BB6621B2}"/>
    <cellStyle name="Comma 4 4 2 2 2 5" xfId="10149" xr:uid="{8DFD4324-29A9-460C-985D-9BDB27505BC0}"/>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181EA329-ABD2-46AB-BA89-B3F4BD7FD602}"/>
    <cellStyle name="Comma 4 4 2 2 3 2 3" xfId="12707" xr:uid="{FBCD94A5-6533-4DFB-9BC0-688CA9BF8D4D}"/>
    <cellStyle name="Comma 4 4 2 2 3 3" xfId="5453" xr:uid="{00000000-0005-0000-0000-0000D7090000}"/>
    <cellStyle name="Comma 4 4 2 2 3 3 2" xfId="14779" xr:uid="{9732474F-02F9-465E-BEE3-83891BADFB21}"/>
    <cellStyle name="Comma 4 4 2 2 3 4" xfId="10562" xr:uid="{FC4734F8-5753-4DFA-9722-E55113EE21E5}"/>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BECD7276-3909-4047-BA74-389EA062B3C9}"/>
    <cellStyle name="Comma 4 4 2 2 4 2 3" xfId="13120" xr:uid="{4C572085-6699-4AD5-B38D-E2F3D4B9D8B8}"/>
    <cellStyle name="Comma 4 4 2 2 4 3" xfId="5866" xr:uid="{00000000-0005-0000-0000-0000DB090000}"/>
    <cellStyle name="Comma 4 4 2 2 4 3 2" xfId="15192" xr:uid="{7E4D1F23-14CE-44DF-A710-1388E82E6693}"/>
    <cellStyle name="Comma 4 4 2 2 4 4" xfId="10975" xr:uid="{93D06825-7897-468E-8945-A1FA045979BB}"/>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B4DD7212-A673-4CAD-9B31-7C48693D0119}"/>
    <cellStyle name="Comma 4 4 2 2 5 2 3" xfId="13533" xr:uid="{3F8ECB4B-E536-460E-A159-CF43778504A8}"/>
    <cellStyle name="Comma 4 4 2 2 5 3" xfId="6279" xr:uid="{00000000-0005-0000-0000-0000DF090000}"/>
    <cellStyle name="Comma 4 4 2 2 5 3 2" xfId="15605" xr:uid="{911248EB-6918-47A1-8F65-077DBCB378D4}"/>
    <cellStyle name="Comma 4 4 2 2 5 4" xfId="11388" xr:uid="{372C7E00-1FDF-44DF-82C0-553C4D20747D}"/>
    <cellStyle name="Comma 4 4 2 2 6" xfId="2408" xr:uid="{00000000-0005-0000-0000-0000E0090000}"/>
    <cellStyle name="Comma 4 4 2 2 6 2" xfId="6692" xr:uid="{00000000-0005-0000-0000-0000E1090000}"/>
    <cellStyle name="Comma 4 4 2 2 6 2 2" xfId="16018" xr:uid="{9F8E4B72-2964-4F93-B3AF-862652174974}"/>
    <cellStyle name="Comma 4 4 2 2 6 3" xfId="11801" xr:uid="{3D8DEA7E-384A-45A1-B755-71B486668FE0}"/>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A99429BD-3CA9-4C3E-950E-5B0DC5ED1BE6}"/>
    <cellStyle name="Comma 4 4 2 2 8 3" xfId="12118" xr:uid="{FA3557F7-D716-45D0-A316-CD879BD088C5}"/>
    <cellStyle name="Comma 4 4 2 2 9" xfId="4626" xr:uid="{00000000-0005-0000-0000-0000E5090000}"/>
    <cellStyle name="Comma 4 4 2 2 9 2" xfId="13952" xr:uid="{7DACDE2F-4463-4BC7-8C90-7CB622425E5E}"/>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57700D3F-EC8A-400F-8DEC-CAD48CE9C9D6}"/>
    <cellStyle name="Comma 4 4 2 3 2 3" xfId="12293" xr:uid="{5FCFB1CF-BD86-4DDF-93CD-975B1FCFA7BA}"/>
    <cellStyle name="Comma 4 4 2 3 3" xfId="5039" xr:uid="{00000000-0005-0000-0000-0000E9090000}"/>
    <cellStyle name="Comma 4 4 2 3 3 2" xfId="14365" xr:uid="{602FF2F2-60D6-4CC2-B6CF-55DE60735A62}"/>
    <cellStyle name="Comma 4 4 2 3 4" xfId="9332" xr:uid="{00F59ECD-64D7-476B-90FD-CD86F054AE4D}"/>
    <cellStyle name="Comma 4 4 2 3 5" xfId="10148" xr:uid="{A3B3EC1F-E8B0-4BAB-BA34-5418709E3CC3}"/>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035DFBB7-A286-49BC-9C58-96EC03F398F7}"/>
    <cellStyle name="Comma 4 4 2 4 2 3" xfId="12706" xr:uid="{93CF27B4-01EE-4791-A78F-030376C5CF7F}"/>
    <cellStyle name="Comma 4 4 2 4 3" xfId="5452" xr:uid="{00000000-0005-0000-0000-0000ED090000}"/>
    <cellStyle name="Comma 4 4 2 4 3 2" xfId="14778" xr:uid="{DE902138-014C-4E07-B306-1E63D320A25B}"/>
    <cellStyle name="Comma 4 4 2 4 4" xfId="10561" xr:uid="{C3AD6BAB-EAD2-4507-AC12-8D377630D4A8}"/>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BE2F8101-CA50-4355-A486-81880362BC56}"/>
    <cellStyle name="Comma 4 4 2 5 2 3" xfId="13119" xr:uid="{FEDA98C1-C527-4DB9-91FD-5D54775DF403}"/>
    <cellStyle name="Comma 4 4 2 5 3" xfId="5865" xr:uid="{00000000-0005-0000-0000-0000F1090000}"/>
    <cellStyle name="Comma 4 4 2 5 3 2" xfId="15191" xr:uid="{1F6B6639-65CD-4AD0-909C-88097FDB4221}"/>
    <cellStyle name="Comma 4 4 2 5 4" xfId="10974" xr:uid="{4EFEEDE0-4514-4CED-9400-89267BB41D0D}"/>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AC71A70A-B055-422F-A408-83133CAFE458}"/>
    <cellStyle name="Comma 4 4 2 6 2 3" xfId="13532" xr:uid="{928B9B84-04A3-463D-8902-F8E3FA53AFAF}"/>
    <cellStyle name="Comma 4 4 2 6 3" xfId="6278" xr:uid="{00000000-0005-0000-0000-0000F5090000}"/>
    <cellStyle name="Comma 4 4 2 6 3 2" xfId="15604" xr:uid="{A7926FB3-4945-4620-8781-DD2BF5C11392}"/>
    <cellStyle name="Comma 4 4 2 6 4" xfId="11387" xr:uid="{2C0460E2-F276-40E5-9464-006F44F2CA8A}"/>
    <cellStyle name="Comma 4 4 2 7" xfId="2407" xr:uid="{00000000-0005-0000-0000-0000F6090000}"/>
    <cellStyle name="Comma 4 4 2 7 2" xfId="6691" xr:uid="{00000000-0005-0000-0000-0000F7090000}"/>
    <cellStyle name="Comma 4 4 2 7 2 2" xfId="16017" xr:uid="{9F88AC66-C9F6-4ACB-A865-20D3B77E0240}"/>
    <cellStyle name="Comma 4 4 2 7 3" xfId="11800" xr:uid="{6E9A8010-6C40-455A-B582-A802995729E0}"/>
    <cellStyle name="Comma 4 4 2 8" xfId="2703" xr:uid="{00000000-0005-0000-0000-0000F8090000}"/>
    <cellStyle name="Comma 4 4 2 9" xfId="2785" xr:uid="{00000000-0005-0000-0000-0000F9090000}"/>
    <cellStyle name="Comma 4 4 2 9 2" xfId="7008" xr:uid="{00000000-0005-0000-0000-0000FA090000}"/>
    <cellStyle name="Comma 4 4 2 9 2 2" xfId="16334" xr:uid="{8113992A-EE2E-442F-B713-7793910E14A0}"/>
    <cellStyle name="Comma 4 4 2 9 3" xfId="12117" xr:uid="{0B50CB68-7424-43F8-9F78-A7AC14B67B34}"/>
    <cellStyle name="Comma 4 4 3" xfId="156" xr:uid="{00000000-0005-0000-0000-0000FB090000}"/>
    <cellStyle name="Comma 4 4 3 10" xfId="9011" xr:uid="{31ED03AD-AB12-49AF-9AD4-B783F0BF7322}"/>
    <cellStyle name="Comma 4 4 3 11" xfId="9736" xr:uid="{452559CC-250E-49BE-8C9D-FB51C5EB4B79}"/>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5C2FE0B8-4EF2-4FAB-B9ED-A5E725BD927F}"/>
    <cellStyle name="Comma 4 4 3 2 2 3" xfId="12295" xr:uid="{64F6B67B-EE51-4537-A488-900594574521}"/>
    <cellStyle name="Comma 4 4 3 2 3" xfId="5041" xr:uid="{00000000-0005-0000-0000-0000FF090000}"/>
    <cellStyle name="Comma 4 4 3 2 3 2" xfId="14367" xr:uid="{84918EDC-88E2-495D-B6E0-F7A64D32134D}"/>
    <cellStyle name="Comma 4 4 3 2 4" xfId="9436" xr:uid="{5B7DDC25-9095-4E8E-BD31-668F46BBD33F}"/>
    <cellStyle name="Comma 4 4 3 2 5" xfId="10150" xr:uid="{1631D0EA-43E0-4E69-8436-6F2BFCA67CBA}"/>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AA400B4C-1255-4F27-88EC-8766D8E56703}"/>
    <cellStyle name="Comma 4 4 3 3 2 3" xfId="12708" xr:uid="{19097160-991D-4EDC-A0A2-65FAC1FAA1A8}"/>
    <cellStyle name="Comma 4 4 3 3 3" xfId="5454" xr:uid="{00000000-0005-0000-0000-0000030A0000}"/>
    <cellStyle name="Comma 4 4 3 3 3 2" xfId="14780" xr:uid="{22D6D0CA-EB5A-4D7D-8D2D-8636E56CC105}"/>
    <cellStyle name="Comma 4 4 3 3 4" xfId="10563" xr:uid="{37CA387E-5D70-4CC8-BB43-2FDA30661EEB}"/>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BC2273BC-62EA-4FA8-966B-08DF58925190}"/>
    <cellStyle name="Comma 4 4 3 4 2 3" xfId="13121" xr:uid="{618AC6D2-57CA-438A-8759-16FFFF80E95F}"/>
    <cellStyle name="Comma 4 4 3 4 3" xfId="5867" xr:uid="{00000000-0005-0000-0000-0000070A0000}"/>
    <cellStyle name="Comma 4 4 3 4 3 2" xfId="15193" xr:uid="{DE94F271-0097-48DB-AFDA-44A8AA1DF344}"/>
    <cellStyle name="Comma 4 4 3 4 4" xfId="10976" xr:uid="{D2195A15-6279-4B38-810D-D06F66DDD41B}"/>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0689258A-A24A-4A3C-9C81-78A975230423}"/>
    <cellStyle name="Comma 4 4 3 5 2 3" xfId="13534" xr:uid="{BCAB3B93-5F80-4C84-B71C-A64572F1A85A}"/>
    <cellStyle name="Comma 4 4 3 5 3" xfId="6280" xr:uid="{00000000-0005-0000-0000-00000B0A0000}"/>
    <cellStyle name="Comma 4 4 3 5 3 2" xfId="15606" xr:uid="{A4ED36C8-BACA-46F1-9B09-46CEFC023442}"/>
    <cellStyle name="Comma 4 4 3 5 4" xfId="11389" xr:uid="{1CF71852-58EA-4B75-9772-8EBD3A6B8E64}"/>
    <cellStyle name="Comma 4 4 3 6" xfId="2409" xr:uid="{00000000-0005-0000-0000-00000C0A0000}"/>
    <cellStyle name="Comma 4 4 3 6 2" xfId="6693" xr:uid="{00000000-0005-0000-0000-00000D0A0000}"/>
    <cellStyle name="Comma 4 4 3 6 2 2" xfId="16019" xr:uid="{C0A76ADC-0A5F-42D3-BD0F-5ECBC9965DF0}"/>
    <cellStyle name="Comma 4 4 3 6 3" xfId="11802" xr:uid="{FDA9FC42-28CB-4D7F-98C3-E5A657E0825F}"/>
    <cellStyle name="Comma 4 4 3 7" xfId="2705" xr:uid="{00000000-0005-0000-0000-00000E0A0000}"/>
    <cellStyle name="Comma 4 4 3 8" xfId="2787" xr:uid="{00000000-0005-0000-0000-00000F0A0000}"/>
    <cellStyle name="Comma 4 4 3 8 2" xfId="7010" xr:uid="{00000000-0005-0000-0000-0000100A0000}"/>
    <cellStyle name="Comma 4 4 3 8 2 2" xfId="16336" xr:uid="{371E5404-FC7F-43CB-A1EC-E51633DABFCC}"/>
    <cellStyle name="Comma 4 4 3 8 3" xfId="12119" xr:uid="{FCD31D24-F2CA-4B1C-AC3C-23C5531F58AC}"/>
    <cellStyle name="Comma 4 4 3 9" xfId="4627" xr:uid="{00000000-0005-0000-0000-0000110A0000}"/>
    <cellStyle name="Comma 4 4 3 9 2" xfId="13953" xr:uid="{33A33CF9-EEEC-410F-8427-8F2C06602A1B}"/>
    <cellStyle name="Comma 4 4 4" xfId="690" xr:uid="{00000000-0005-0000-0000-0000120A0000}"/>
    <cellStyle name="Comma 4 4 4 2" xfId="2961" xr:uid="{00000000-0005-0000-0000-0000130A0000}"/>
    <cellStyle name="Comma 4 4 4 2 2" xfId="7183" xr:uid="{00000000-0005-0000-0000-0000140A0000}"/>
    <cellStyle name="Comma 4 4 4 2 2 2" xfId="16509" xr:uid="{4161E78D-9C5C-474A-BFE1-7A85AF59F2A7}"/>
    <cellStyle name="Comma 4 4 4 2 3" xfId="12292" xr:uid="{C76BB4E5-59B8-494E-BD16-F3904E4987E6}"/>
    <cellStyle name="Comma 4 4 4 3" xfId="5038" xr:uid="{00000000-0005-0000-0000-0000150A0000}"/>
    <cellStyle name="Comma 4 4 4 3 2" xfId="14364" xr:uid="{4CDA6D04-9A46-4B3F-8ACD-DA0B1A0CB42E}"/>
    <cellStyle name="Comma 4 4 4 4" xfId="9229" xr:uid="{5D655A80-2199-4116-9BF2-7327D5827395}"/>
    <cellStyle name="Comma 4 4 4 5" xfId="10147" xr:uid="{15406DC1-9A84-402E-98B4-8068CD753076}"/>
    <cellStyle name="Comma 4 4 5" xfId="1143" xr:uid="{00000000-0005-0000-0000-0000160A0000}"/>
    <cellStyle name="Comma 4 4 5 2" xfId="3374" xr:uid="{00000000-0005-0000-0000-0000170A0000}"/>
    <cellStyle name="Comma 4 4 5 2 2" xfId="7596" xr:uid="{00000000-0005-0000-0000-0000180A0000}"/>
    <cellStyle name="Comma 4 4 5 2 2 2" xfId="16922" xr:uid="{E806257B-45DE-4CF1-A5C7-932DE841D81C}"/>
    <cellStyle name="Comma 4 4 5 2 3" xfId="12705" xr:uid="{9B94B78C-598F-40BF-B65D-3361D9F47E92}"/>
    <cellStyle name="Comma 4 4 5 3" xfId="5451" xr:uid="{00000000-0005-0000-0000-0000190A0000}"/>
    <cellStyle name="Comma 4 4 5 3 2" xfId="14777" xr:uid="{8C31EA89-C52F-4EFA-BDDF-38AC0FB0CCBD}"/>
    <cellStyle name="Comma 4 4 5 4" xfId="10560" xr:uid="{2E9DFF38-B14F-4597-990B-69EE96A7F2F9}"/>
    <cellStyle name="Comma 4 4 6" xfId="1557" xr:uid="{00000000-0005-0000-0000-00001A0A0000}"/>
    <cellStyle name="Comma 4 4 6 2" xfId="3787" xr:uid="{00000000-0005-0000-0000-00001B0A0000}"/>
    <cellStyle name="Comma 4 4 6 2 2" xfId="8009" xr:uid="{00000000-0005-0000-0000-00001C0A0000}"/>
    <cellStyle name="Comma 4 4 6 2 2 2" xfId="17335" xr:uid="{634A8596-13F2-4547-9D7F-E12A4EAEC915}"/>
    <cellStyle name="Comma 4 4 6 2 3" xfId="13118" xr:uid="{080579B7-70E2-48BC-BF8C-0EA92D3A7375}"/>
    <cellStyle name="Comma 4 4 6 3" xfId="5864" xr:uid="{00000000-0005-0000-0000-00001D0A0000}"/>
    <cellStyle name="Comma 4 4 6 3 2" xfId="15190" xr:uid="{312D7BF7-6EB3-40E9-8738-E698F3E02BFB}"/>
    <cellStyle name="Comma 4 4 6 4" xfId="10973" xr:uid="{86222D82-81BA-4130-AC4C-692E048C0EE2}"/>
    <cellStyle name="Comma 4 4 7" xfId="1971" xr:uid="{00000000-0005-0000-0000-00001E0A0000}"/>
    <cellStyle name="Comma 4 4 7 2" xfId="4200" xr:uid="{00000000-0005-0000-0000-00001F0A0000}"/>
    <cellStyle name="Comma 4 4 7 2 2" xfId="8422" xr:uid="{00000000-0005-0000-0000-0000200A0000}"/>
    <cellStyle name="Comma 4 4 7 2 2 2" xfId="17748" xr:uid="{03DCD7C9-5DA1-4E55-BDA3-4770BF6AB9CF}"/>
    <cellStyle name="Comma 4 4 7 2 3" xfId="13531" xr:uid="{9172BAE7-2257-4B86-AA45-3B1F3A264073}"/>
    <cellStyle name="Comma 4 4 7 3" xfId="6277" xr:uid="{00000000-0005-0000-0000-0000210A0000}"/>
    <cellStyle name="Comma 4 4 7 3 2" xfId="15603" xr:uid="{869DE1D0-59A6-4609-863C-626ADBF890F8}"/>
    <cellStyle name="Comma 4 4 7 4" xfId="11386" xr:uid="{1085CB2E-604E-41E6-907A-FE07622A2A13}"/>
    <cellStyle name="Comma 4 4 8" xfId="2406" xr:uid="{00000000-0005-0000-0000-0000220A0000}"/>
    <cellStyle name="Comma 4 4 8 2" xfId="6690" xr:uid="{00000000-0005-0000-0000-0000230A0000}"/>
    <cellStyle name="Comma 4 4 8 2 2" xfId="16016" xr:uid="{6EA77130-7300-4C8B-B84B-466A237B957B}"/>
    <cellStyle name="Comma 4 4 8 3" xfId="11799" xr:uid="{8994397F-3B8E-4134-93D6-398CD738258A}"/>
    <cellStyle name="Comma 4 4 9" xfId="2702" xr:uid="{00000000-0005-0000-0000-0000240A0000}"/>
    <cellStyle name="Comma 4 5" xfId="157" xr:uid="{00000000-0005-0000-0000-0000250A0000}"/>
    <cellStyle name="Comma 4 5 10" xfId="4628" xr:uid="{00000000-0005-0000-0000-0000260A0000}"/>
    <cellStyle name="Comma 4 5 10 2" xfId="13954" xr:uid="{B85CDBB6-13C4-4261-ABC6-970332BF58ED}"/>
    <cellStyle name="Comma 4 5 11" xfId="8849" xr:uid="{344CCE08-63E3-41E8-B38A-00347480820F}"/>
    <cellStyle name="Comma 4 5 12" xfId="9737" xr:uid="{FCCA409E-5CC7-49E7-A21F-9D050A7DB03E}"/>
    <cellStyle name="Comma 4 5 2" xfId="158" xr:uid="{00000000-0005-0000-0000-0000270A0000}"/>
    <cellStyle name="Comma 4 5 2 10" xfId="9056" xr:uid="{C7C2153B-7EAA-4A13-9C28-1151ACD100A8}"/>
    <cellStyle name="Comma 4 5 2 11" xfId="9738" xr:uid="{CB877AAA-3931-4F0D-8C39-614519BD0A56}"/>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CB125151-0698-4E66-AC61-7D2B02096F78}"/>
    <cellStyle name="Comma 4 5 2 2 2 3" xfId="12297" xr:uid="{A511586B-35F1-469D-8B3B-3F9B76DCB255}"/>
    <cellStyle name="Comma 4 5 2 2 3" xfId="5043" xr:uid="{00000000-0005-0000-0000-00002B0A0000}"/>
    <cellStyle name="Comma 4 5 2 2 3 2" xfId="14369" xr:uid="{68EC7741-3CAF-422B-9DB8-E5BD8FF9030F}"/>
    <cellStyle name="Comma 4 5 2 2 4" xfId="9481" xr:uid="{47C88F6D-21B1-4457-908C-FFAB8FF83BD1}"/>
    <cellStyle name="Comma 4 5 2 2 5" xfId="10152" xr:uid="{368DA4BE-9390-4691-AF82-217F8CEFC1D9}"/>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96365C4C-2DC9-40D5-A6A8-91DD7DA83C08}"/>
    <cellStyle name="Comma 4 5 2 3 2 3" xfId="12710" xr:uid="{F445738D-9FDC-4D8B-B28D-0B84A56B6153}"/>
    <cellStyle name="Comma 4 5 2 3 3" xfId="5456" xr:uid="{00000000-0005-0000-0000-00002F0A0000}"/>
    <cellStyle name="Comma 4 5 2 3 3 2" xfId="14782" xr:uid="{7A859585-EE2E-447C-8765-BC34D3964678}"/>
    <cellStyle name="Comma 4 5 2 3 4" xfId="10565" xr:uid="{7B3E9915-F568-46B6-BED5-D366F98C3554}"/>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92884276-3214-44C7-AF02-4D02ED6CCB88}"/>
    <cellStyle name="Comma 4 5 2 4 2 3" xfId="13123" xr:uid="{1E6B3E6D-E75D-4912-ADF5-3EAF72BEFBF9}"/>
    <cellStyle name="Comma 4 5 2 4 3" xfId="5869" xr:uid="{00000000-0005-0000-0000-0000330A0000}"/>
    <cellStyle name="Comma 4 5 2 4 3 2" xfId="15195" xr:uid="{33A4F13F-0FDD-4213-9012-FB1AA8ACE422}"/>
    <cellStyle name="Comma 4 5 2 4 4" xfId="10978" xr:uid="{0F2A9093-698C-4BC1-8464-C4F07559D844}"/>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63771341-00AF-45BA-9433-5E5A92616B86}"/>
    <cellStyle name="Comma 4 5 2 5 2 3" xfId="13536" xr:uid="{281F434C-B473-4D87-9026-9F972377CC7A}"/>
    <cellStyle name="Comma 4 5 2 5 3" xfId="6282" xr:uid="{00000000-0005-0000-0000-0000370A0000}"/>
    <cellStyle name="Comma 4 5 2 5 3 2" xfId="15608" xr:uid="{D5AB40FA-9234-4383-B888-B7B4438EF0C2}"/>
    <cellStyle name="Comma 4 5 2 5 4" xfId="11391" xr:uid="{C9B24784-7112-4F5D-816E-EA1B835B4D1E}"/>
    <cellStyle name="Comma 4 5 2 6" xfId="2411" xr:uid="{00000000-0005-0000-0000-0000380A0000}"/>
    <cellStyle name="Comma 4 5 2 6 2" xfId="6695" xr:uid="{00000000-0005-0000-0000-0000390A0000}"/>
    <cellStyle name="Comma 4 5 2 6 2 2" xfId="16021" xr:uid="{F6607F7C-CF2E-44A1-9E94-5108899FD04E}"/>
    <cellStyle name="Comma 4 5 2 6 3" xfId="11804" xr:uid="{52BCE64C-6F7C-48EC-8940-499C9583B089}"/>
    <cellStyle name="Comma 4 5 2 7" xfId="2707" xr:uid="{00000000-0005-0000-0000-00003A0A0000}"/>
    <cellStyle name="Comma 4 5 2 8" xfId="2789" xr:uid="{00000000-0005-0000-0000-00003B0A0000}"/>
    <cellStyle name="Comma 4 5 2 8 2" xfId="7012" xr:uid="{00000000-0005-0000-0000-00003C0A0000}"/>
    <cellStyle name="Comma 4 5 2 8 2 2" xfId="16338" xr:uid="{EC4F5571-CECC-4577-8157-4D88EFA4A061}"/>
    <cellStyle name="Comma 4 5 2 8 3" xfId="12121" xr:uid="{93AA56E0-91D5-4B1E-A204-9673EF832480}"/>
    <cellStyle name="Comma 4 5 2 9" xfId="4629" xr:uid="{00000000-0005-0000-0000-00003D0A0000}"/>
    <cellStyle name="Comma 4 5 2 9 2" xfId="13955" xr:uid="{93C24E70-B7D6-4424-AFF2-533F44BB3521}"/>
    <cellStyle name="Comma 4 5 3" xfId="694" xr:uid="{00000000-0005-0000-0000-00003E0A0000}"/>
    <cellStyle name="Comma 4 5 3 2" xfId="2965" xr:uid="{00000000-0005-0000-0000-00003F0A0000}"/>
    <cellStyle name="Comma 4 5 3 2 2" xfId="7187" xr:uid="{00000000-0005-0000-0000-0000400A0000}"/>
    <cellStyle name="Comma 4 5 3 2 2 2" xfId="16513" xr:uid="{6E2FCFE5-0407-40E8-902B-00A0B693EAF8}"/>
    <cellStyle name="Comma 4 5 3 2 3" xfId="12296" xr:uid="{627F8225-0754-45AD-ADAB-C645DDAEC202}"/>
    <cellStyle name="Comma 4 5 3 3" xfId="5042" xr:uid="{00000000-0005-0000-0000-0000410A0000}"/>
    <cellStyle name="Comma 4 5 3 3 2" xfId="14368" xr:uid="{87FABF8C-6937-4DC7-B450-358DA47696FF}"/>
    <cellStyle name="Comma 4 5 3 4" xfId="9274" xr:uid="{04AC3EF2-4A78-4DC5-BAB4-87936023C7E5}"/>
    <cellStyle name="Comma 4 5 3 5" xfId="10151" xr:uid="{C268CDC8-EF35-4D86-AD60-D1B757A459A2}"/>
    <cellStyle name="Comma 4 5 4" xfId="1147" xr:uid="{00000000-0005-0000-0000-0000420A0000}"/>
    <cellStyle name="Comma 4 5 4 2" xfId="3378" xr:uid="{00000000-0005-0000-0000-0000430A0000}"/>
    <cellStyle name="Comma 4 5 4 2 2" xfId="7600" xr:uid="{00000000-0005-0000-0000-0000440A0000}"/>
    <cellStyle name="Comma 4 5 4 2 2 2" xfId="16926" xr:uid="{11FC8F1C-322C-43F1-87B0-78BAD08F3B1C}"/>
    <cellStyle name="Comma 4 5 4 2 3" xfId="12709" xr:uid="{A7765AA0-5FEB-40D9-8FD4-D6AE669942F2}"/>
    <cellStyle name="Comma 4 5 4 3" xfId="5455" xr:uid="{00000000-0005-0000-0000-0000450A0000}"/>
    <cellStyle name="Comma 4 5 4 3 2" xfId="14781" xr:uid="{333920C7-EFC4-4BBB-BF59-6A0EA7C37E69}"/>
    <cellStyle name="Comma 4 5 4 4" xfId="10564" xr:uid="{102E8B52-DF52-43EA-9D9E-09707F1FE893}"/>
    <cellStyle name="Comma 4 5 5" xfId="1561" xr:uid="{00000000-0005-0000-0000-0000460A0000}"/>
    <cellStyle name="Comma 4 5 5 2" xfId="3791" xr:uid="{00000000-0005-0000-0000-0000470A0000}"/>
    <cellStyle name="Comma 4 5 5 2 2" xfId="8013" xr:uid="{00000000-0005-0000-0000-0000480A0000}"/>
    <cellStyle name="Comma 4 5 5 2 2 2" xfId="17339" xr:uid="{E6921EDB-C0B3-44DC-878E-AC010BEB71FD}"/>
    <cellStyle name="Comma 4 5 5 2 3" xfId="13122" xr:uid="{0C787730-A73A-40C1-B62B-11CE3B95D6A0}"/>
    <cellStyle name="Comma 4 5 5 3" xfId="5868" xr:uid="{00000000-0005-0000-0000-0000490A0000}"/>
    <cellStyle name="Comma 4 5 5 3 2" xfId="15194" xr:uid="{3145E359-FC8D-4F7F-851F-925A32E3705E}"/>
    <cellStyle name="Comma 4 5 5 4" xfId="10977" xr:uid="{8010795F-0C06-40B2-8290-7EC655A95F74}"/>
    <cellStyle name="Comma 4 5 6" xfId="1975" xr:uid="{00000000-0005-0000-0000-00004A0A0000}"/>
    <cellStyle name="Comma 4 5 6 2" xfId="4204" xr:uid="{00000000-0005-0000-0000-00004B0A0000}"/>
    <cellStyle name="Comma 4 5 6 2 2" xfId="8426" xr:uid="{00000000-0005-0000-0000-00004C0A0000}"/>
    <cellStyle name="Comma 4 5 6 2 2 2" xfId="17752" xr:uid="{AAE20086-59C5-48DE-80FA-DAFDE570FB28}"/>
    <cellStyle name="Comma 4 5 6 2 3" xfId="13535" xr:uid="{A24C3C9D-5178-4955-9FB8-6B1EC245BCDC}"/>
    <cellStyle name="Comma 4 5 6 3" xfId="6281" xr:uid="{00000000-0005-0000-0000-00004D0A0000}"/>
    <cellStyle name="Comma 4 5 6 3 2" xfId="15607" xr:uid="{5CC5AE63-7AA9-487F-B5BD-D7731699F3B2}"/>
    <cellStyle name="Comma 4 5 6 4" xfId="11390" xr:uid="{4CAADD3E-ACDC-4E40-A85E-451059931684}"/>
    <cellStyle name="Comma 4 5 7" xfId="2410" xr:uid="{00000000-0005-0000-0000-00004E0A0000}"/>
    <cellStyle name="Comma 4 5 7 2" xfId="6694" xr:uid="{00000000-0005-0000-0000-00004F0A0000}"/>
    <cellStyle name="Comma 4 5 7 2 2" xfId="16020" xr:uid="{2D5D1E12-3B8C-4A32-AA0C-AC387AC156A6}"/>
    <cellStyle name="Comma 4 5 7 3" xfId="11803" xr:uid="{329F1808-294A-4A16-B507-DA135579B6B3}"/>
    <cellStyle name="Comma 4 5 8" xfId="2706" xr:uid="{00000000-0005-0000-0000-0000500A0000}"/>
    <cellStyle name="Comma 4 5 9" xfId="2788" xr:uid="{00000000-0005-0000-0000-0000510A0000}"/>
    <cellStyle name="Comma 4 5 9 2" xfId="7011" xr:uid="{00000000-0005-0000-0000-0000520A0000}"/>
    <cellStyle name="Comma 4 5 9 2 2" xfId="16337" xr:uid="{457AEF6E-4601-4D6E-8063-F9954AD431C0}"/>
    <cellStyle name="Comma 4 5 9 3" xfId="12120" xr:uid="{3F962527-D617-41F6-8F2F-785A4BB2700F}"/>
    <cellStyle name="Comma 4 6" xfId="159" xr:uid="{00000000-0005-0000-0000-0000530A0000}"/>
    <cellStyle name="Comma 4 6 10" xfId="8965" xr:uid="{FDA33E7D-96B8-46F2-87D8-5CB6C30A4CC6}"/>
    <cellStyle name="Comma 4 6 11" xfId="9739" xr:uid="{B0D95400-25D0-474E-9DB4-A736693A2573}"/>
    <cellStyle name="Comma 4 6 2" xfId="696" xr:uid="{00000000-0005-0000-0000-0000540A0000}"/>
    <cellStyle name="Comma 4 6 2 2" xfId="2967" xr:uid="{00000000-0005-0000-0000-0000550A0000}"/>
    <cellStyle name="Comma 4 6 2 2 2" xfId="7189" xr:uid="{00000000-0005-0000-0000-0000560A0000}"/>
    <cellStyle name="Comma 4 6 2 2 2 2" xfId="16515" xr:uid="{F0067A3A-AA03-42D0-AD05-8FAA283F7473}"/>
    <cellStyle name="Comma 4 6 2 2 3" xfId="12298" xr:uid="{9C2BA06B-6993-44B2-BC2E-B6696A8750F8}"/>
    <cellStyle name="Comma 4 6 2 3" xfId="5044" xr:uid="{00000000-0005-0000-0000-0000570A0000}"/>
    <cellStyle name="Comma 4 6 2 3 2" xfId="14370" xr:uid="{FE1B4B24-0916-4CE2-9AF7-B88B6123509E}"/>
    <cellStyle name="Comma 4 6 2 4" xfId="9390" xr:uid="{F8012948-A58F-476A-B4CF-A63C8F36D5B6}"/>
    <cellStyle name="Comma 4 6 2 5" xfId="10153" xr:uid="{F3C245F8-4678-44CF-95E5-3BF3A7B4CAAE}"/>
    <cellStyle name="Comma 4 6 3" xfId="1149" xr:uid="{00000000-0005-0000-0000-0000580A0000}"/>
    <cellStyle name="Comma 4 6 3 2" xfId="3380" xr:uid="{00000000-0005-0000-0000-0000590A0000}"/>
    <cellStyle name="Comma 4 6 3 2 2" xfId="7602" xr:uid="{00000000-0005-0000-0000-00005A0A0000}"/>
    <cellStyle name="Comma 4 6 3 2 2 2" xfId="16928" xr:uid="{3B962BD3-3B0D-464F-B6FA-96239D9E0999}"/>
    <cellStyle name="Comma 4 6 3 2 3" xfId="12711" xr:uid="{97A1DF9C-86CE-4DC5-9AA4-4DF6404434B6}"/>
    <cellStyle name="Comma 4 6 3 3" xfId="5457" xr:uid="{00000000-0005-0000-0000-00005B0A0000}"/>
    <cellStyle name="Comma 4 6 3 3 2" xfId="14783" xr:uid="{C90BDD31-239B-4EF3-96B7-B34D80A04774}"/>
    <cellStyle name="Comma 4 6 3 4" xfId="10566" xr:uid="{388D5DB0-25AB-4D1D-9F62-0EA655B87B68}"/>
    <cellStyle name="Comma 4 6 4" xfId="1563" xr:uid="{00000000-0005-0000-0000-00005C0A0000}"/>
    <cellStyle name="Comma 4 6 4 2" xfId="3793" xr:uid="{00000000-0005-0000-0000-00005D0A0000}"/>
    <cellStyle name="Comma 4 6 4 2 2" xfId="8015" xr:uid="{00000000-0005-0000-0000-00005E0A0000}"/>
    <cellStyle name="Comma 4 6 4 2 2 2" xfId="17341" xr:uid="{8D75BB6B-CC49-4670-ACFF-D1F43EA0BA44}"/>
    <cellStyle name="Comma 4 6 4 2 3" xfId="13124" xr:uid="{1AE60A75-36AA-4C85-A0C7-875A34B9149C}"/>
    <cellStyle name="Comma 4 6 4 3" xfId="5870" xr:uid="{00000000-0005-0000-0000-00005F0A0000}"/>
    <cellStyle name="Comma 4 6 4 3 2" xfId="15196" xr:uid="{DC11A219-13C8-480E-A7D6-9A5191637BE3}"/>
    <cellStyle name="Comma 4 6 4 4" xfId="10979" xr:uid="{2374B28F-824D-4293-81B8-607BC804754D}"/>
    <cellStyle name="Comma 4 6 5" xfId="1977" xr:uid="{00000000-0005-0000-0000-0000600A0000}"/>
    <cellStyle name="Comma 4 6 5 2" xfId="4206" xr:uid="{00000000-0005-0000-0000-0000610A0000}"/>
    <cellStyle name="Comma 4 6 5 2 2" xfId="8428" xr:uid="{00000000-0005-0000-0000-0000620A0000}"/>
    <cellStyle name="Comma 4 6 5 2 2 2" xfId="17754" xr:uid="{4CA8D306-F750-4300-A599-42AF4099634F}"/>
    <cellStyle name="Comma 4 6 5 2 3" xfId="13537" xr:uid="{100C9866-7F9E-45B8-AF2B-3B7092A0F3AF}"/>
    <cellStyle name="Comma 4 6 5 3" xfId="6283" xr:uid="{00000000-0005-0000-0000-0000630A0000}"/>
    <cellStyle name="Comma 4 6 5 3 2" xfId="15609" xr:uid="{15E44658-1D34-472A-9EEF-4AEBEC49DF47}"/>
    <cellStyle name="Comma 4 6 5 4" xfId="11392" xr:uid="{A1DBCE46-D903-4D6A-9B04-BD9FC8007BA3}"/>
    <cellStyle name="Comma 4 6 6" xfId="2412" xr:uid="{00000000-0005-0000-0000-0000640A0000}"/>
    <cellStyle name="Comma 4 6 6 2" xfId="6696" xr:uid="{00000000-0005-0000-0000-0000650A0000}"/>
    <cellStyle name="Comma 4 6 6 2 2" xfId="16022" xr:uid="{B88F92D0-4395-4BFD-9CBE-EECD2E73D49A}"/>
    <cellStyle name="Comma 4 6 6 3" xfId="11805" xr:uid="{F2F99336-0446-4E7E-85A1-3B28EE4F1DD5}"/>
    <cellStyle name="Comma 4 6 7" xfId="2708" xr:uid="{00000000-0005-0000-0000-0000660A0000}"/>
    <cellStyle name="Comma 4 6 8" xfId="2790" xr:uid="{00000000-0005-0000-0000-0000670A0000}"/>
    <cellStyle name="Comma 4 6 8 2" xfId="7013" xr:uid="{00000000-0005-0000-0000-0000680A0000}"/>
    <cellStyle name="Comma 4 6 8 2 2" xfId="16339" xr:uid="{2D9EABD0-E499-421E-B89E-B9D917E82211}"/>
    <cellStyle name="Comma 4 6 8 3" xfId="12122" xr:uid="{65D973C7-DE1C-40FE-BE15-033413594D92}"/>
    <cellStyle name="Comma 4 6 9" xfId="4630" xr:uid="{00000000-0005-0000-0000-0000690A0000}"/>
    <cellStyle name="Comma 4 6 9 2" xfId="13956" xr:uid="{22533F90-FEFE-472F-8351-7E82CA5C5C4F}"/>
    <cellStyle name="Comma 4 7" xfId="160" xr:uid="{00000000-0005-0000-0000-00006A0A0000}"/>
    <cellStyle name="Comma 4 7 10" xfId="9168" xr:uid="{C5EF0C72-87BD-43A9-8A23-92F9D9423F50}"/>
    <cellStyle name="Comma 4 7 11" xfId="9740" xr:uid="{1ED91C13-D74D-4031-AAD5-92E026671554}"/>
    <cellStyle name="Comma 4 7 2" xfId="697" xr:uid="{00000000-0005-0000-0000-00006B0A0000}"/>
    <cellStyle name="Comma 4 7 2 2" xfId="2968" xr:uid="{00000000-0005-0000-0000-00006C0A0000}"/>
    <cellStyle name="Comma 4 7 2 2 2" xfId="7190" xr:uid="{00000000-0005-0000-0000-00006D0A0000}"/>
    <cellStyle name="Comma 4 7 2 2 2 2" xfId="16516" xr:uid="{6B0CC85D-ADAB-4530-A96B-CFE1504658ED}"/>
    <cellStyle name="Comma 4 7 2 2 3" xfId="12299" xr:uid="{6A286AB0-1AC7-4F8F-8A82-FBE3B646F891}"/>
    <cellStyle name="Comma 4 7 2 3" xfId="5045" xr:uid="{00000000-0005-0000-0000-00006E0A0000}"/>
    <cellStyle name="Comma 4 7 2 3 2" xfId="14371" xr:uid="{045CFC7B-E53B-4302-AA42-C83B5E057331}"/>
    <cellStyle name="Comma 4 7 2 4" xfId="9596" xr:uid="{F4A1C070-02C1-4F2A-89F2-15465D9BEBB2}"/>
    <cellStyle name="Comma 4 7 2 5" xfId="10154" xr:uid="{51017532-D33F-4DA2-9377-47AFDC93A881}"/>
    <cellStyle name="Comma 4 7 3" xfId="1150" xr:uid="{00000000-0005-0000-0000-00006F0A0000}"/>
    <cellStyle name="Comma 4 7 3 2" xfId="3381" xr:uid="{00000000-0005-0000-0000-0000700A0000}"/>
    <cellStyle name="Comma 4 7 3 2 2" xfId="7603" xr:uid="{00000000-0005-0000-0000-0000710A0000}"/>
    <cellStyle name="Comma 4 7 3 2 2 2" xfId="16929" xr:uid="{F527D1F6-F38C-43EA-8219-8F5672265A3E}"/>
    <cellStyle name="Comma 4 7 3 2 3" xfId="12712" xr:uid="{257F3BC1-EFAB-42A8-90F5-6955F0BACA4C}"/>
    <cellStyle name="Comma 4 7 3 3" xfId="5458" xr:uid="{00000000-0005-0000-0000-0000720A0000}"/>
    <cellStyle name="Comma 4 7 3 3 2" xfId="14784" xr:uid="{D36690C6-492C-4DCC-9995-38DADE7614EA}"/>
    <cellStyle name="Comma 4 7 3 4" xfId="10567" xr:uid="{778AEAC3-23D8-491B-BD36-40F1686849E4}"/>
    <cellStyle name="Comma 4 7 4" xfId="1564" xr:uid="{00000000-0005-0000-0000-0000730A0000}"/>
    <cellStyle name="Comma 4 7 4 2" xfId="3794" xr:uid="{00000000-0005-0000-0000-0000740A0000}"/>
    <cellStyle name="Comma 4 7 4 2 2" xfId="8016" xr:uid="{00000000-0005-0000-0000-0000750A0000}"/>
    <cellStyle name="Comma 4 7 4 2 2 2" xfId="17342" xr:uid="{8B1B02DE-E371-446B-9926-6C3A87B36983}"/>
    <cellStyle name="Comma 4 7 4 2 3" xfId="13125" xr:uid="{AFA54AE8-7EF2-43DA-A8E9-E2F5633922C3}"/>
    <cellStyle name="Comma 4 7 4 3" xfId="5871" xr:uid="{00000000-0005-0000-0000-0000760A0000}"/>
    <cellStyle name="Comma 4 7 4 3 2" xfId="15197" xr:uid="{380E831C-B4B7-4EEC-8A43-69640260CEFA}"/>
    <cellStyle name="Comma 4 7 4 4" xfId="10980" xr:uid="{E5263FAF-40C2-48B7-A867-6C82D229C3D6}"/>
    <cellStyle name="Comma 4 7 5" xfId="1978" xr:uid="{00000000-0005-0000-0000-0000770A0000}"/>
    <cellStyle name="Comma 4 7 5 2" xfId="4207" xr:uid="{00000000-0005-0000-0000-0000780A0000}"/>
    <cellStyle name="Comma 4 7 5 2 2" xfId="8429" xr:uid="{00000000-0005-0000-0000-0000790A0000}"/>
    <cellStyle name="Comma 4 7 5 2 2 2" xfId="17755" xr:uid="{0192184B-35B0-41D4-904E-E7952886A749}"/>
    <cellStyle name="Comma 4 7 5 2 3" xfId="13538" xr:uid="{68EB342E-27C8-410E-A96D-60A140693D47}"/>
    <cellStyle name="Comma 4 7 5 3" xfId="6284" xr:uid="{00000000-0005-0000-0000-00007A0A0000}"/>
    <cellStyle name="Comma 4 7 5 3 2" xfId="15610" xr:uid="{0729BC29-EFCF-4949-B39E-F3F4468571FA}"/>
    <cellStyle name="Comma 4 7 5 4" xfId="11393" xr:uid="{84020A9C-CA88-4944-8912-539C52EBFC1C}"/>
    <cellStyle name="Comma 4 7 6" xfId="2413" xr:uid="{00000000-0005-0000-0000-00007B0A0000}"/>
    <cellStyle name="Comma 4 7 6 2" xfId="6697" xr:uid="{00000000-0005-0000-0000-00007C0A0000}"/>
    <cellStyle name="Comma 4 7 6 2 2" xfId="16023" xr:uid="{41049110-AD44-4407-A7C7-A5AEA734E496}"/>
    <cellStyle name="Comma 4 7 6 3" xfId="11806" xr:uid="{12BEC749-6C6A-4E6B-A610-8ACE155BD1ED}"/>
    <cellStyle name="Comma 4 7 7" xfId="2709" xr:uid="{00000000-0005-0000-0000-00007D0A0000}"/>
    <cellStyle name="Comma 4 7 8" xfId="2791" xr:uid="{00000000-0005-0000-0000-00007E0A0000}"/>
    <cellStyle name="Comma 4 7 8 2" xfId="7014" xr:uid="{00000000-0005-0000-0000-00007F0A0000}"/>
    <cellStyle name="Comma 4 7 8 2 2" xfId="16340" xr:uid="{668D18B9-C08D-4221-9C69-0DA845B53C78}"/>
    <cellStyle name="Comma 4 7 8 3" xfId="12123" xr:uid="{7B028E61-588A-45F3-A80E-1A9726156402}"/>
    <cellStyle name="Comma 4 7 9" xfId="4631" xr:uid="{00000000-0005-0000-0000-0000800A0000}"/>
    <cellStyle name="Comma 4 7 9 2" xfId="13957" xr:uid="{1C990B77-369C-42AD-97ED-8375C8E244A1}"/>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F22D3AF0-4C65-4588-8E10-1B5AE1D4E70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3AA3988B-9634-4140-BEA5-88560B53574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5E7BDC51-F1A5-476C-890A-96C399B3C671}"/>
    <cellStyle name="Currency 14 3 2 2 2 3" xfId="18055" xr:uid="{EC551A64-A227-48D1-816B-8935B0B39E79}"/>
    <cellStyle name="Currency 14 3 2 2 3" xfId="18051" xr:uid="{8A56D0DF-2864-4B32-88C7-6F8FCC7F1445}"/>
    <cellStyle name="Currency 14 3 2 3" xfId="18048" xr:uid="{402B3AF5-510B-4FF0-AD4A-F9F6251500A4}"/>
    <cellStyle name="Currency 14 3 3" xfId="18045" xr:uid="{317ACEF2-ECA2-4E21-AEEB-93F5DE332AC3}"/>
    <cellStyle name="Currency 14 4" xfId="13828" xr:uid="{2F45454E-F80D-42A5-A423-3F8C6A19272D}"/>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68E6F3BA-1B90-45E6-BAD6-702C62FB4330}"/>
    <cellStyle name="Currency 3 2 2 10 3" xfId="12124" xr:uid="{BB9F81A8-436B-48DE-89A3-27FE850CB3D7}"/>
    <cellStyle name="Currency 3 2 2 11" xfId="4632" xr:uid="{00000000-0005-0000-0000-0000A50A0000}"/>
    <cellStyle name="Currency 3 2 2 11 2" xfId="13958" xr:uid="{6FCCED4B-906C-4151-A0F4-8A72E3A0C283}"/>
    <cellStyle name="Currency 3 2 2 12" xfId="8808" xr:uid="{5CD24693-181E-456A-9199-DC057509AC96}"/>
    <cellStyle name="Currency 3 2 2 13" xfId="9741" xr:uid="{96948D2E-96D1-4E51-87C0-2A9DAAD29DE2}"/>
    <cellStyle name="Currency 3 2 2 2" xfId="179" xr:uid="{00000000-0005-0000-0000-0000A60A0000}"/>
    <cellStyle name="Currency 3 2 2 2 10" xfId="4633" xr:uid="{00000000-0005-0000-0000-0000A70A0000}"/>
    <cellStyle name="Currency 3 2 2 2 10 2" xfId="13959" xr:uid="{1AE1F8C1-461E-468C-BBBE-137E4C85E67E}"/>
    <cellStyle name="Currency 3 2 2 2 11" xfId="8911" xr:uid="{177A45F7-B130-49DA-829A-AA3BF41B848C}"/>
    <cellStyle name="Currency 3 2 2 2 12" xfId="9742" xr:uid="{2E498EAB-E9B1-4A06-A20A-942728D5895E}"/>
    <cellStyle name="Currency 3 2 2 2 2" xfId="180" xr:uid="{00000000-0005-0000-0000-0000A80A0000}"/>
    <cellStyle name="Currency 3 2 2 2 2 10" xfId="9118" xr:uid="{4DDBDF88-B997-49F5-AF34-322CC93508E5}"/>
    <cellStyle name="Currency 3 2 2 2 2 11" xfId="9743" xr:uid="{9609B23B-627A-44B5-AA59-2759C35AB173}"/>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FFB132A1-7281-4811-AEC9-105EB90F67B5}"/>
    <cellStyle name="Currency 3 2 2 2 2 2 2 3" xfId="12302" xr:uid="{1F7C9934-5D5A-4058-84FF-664CFDE4E1A1}"/>
    <cellStyle name="Currency 3 2 2 2 2 2 3" xfId="5048" xr:uid="{00000000-0005-0000-0000-0000AC0A0000}"/>
    <cellStyle name="Currency 3 2 2 2 2 2 3 2" xfId="14374" xr:uid="{B33BB232-04E2-40FE-8727-1C7A2BE9BC94}"/>
    <cellStyle name="Currency 3 2 2 2 2 2 4" xfId="9543" xr:uid="{08990697-BAC1-4B06-A86B-C554A35267E6}"/>
    <cellStyle name="Currency 3 2 2 2 2 2 5" xfId="10157" xr:uid="{F2D46143-53DE-402E-B4C3-F29B4FD3F0CE}"/>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E3A14819-F7B0-4529-B776-AF22AF30E8FF}"/>
    <cellStyle name="Currency 3 2 2 2 2 3 2 3" xfId="12715" xr:uid="{AEB97DDE-01E5-4F3D-82BF-C1D26DCB01C6}"/>
    <cellStyle name="Currency 3 2 2 2 2 3 3" xfId="5461" xr:uid="{00000000-0005-0000-0000-0000B00A0000}"/>
    <cellStyle name="Currency 3 2 2 2 2 3 3 2" xfId="14787" xr:uid="{D4C85DEF-BBD9-4814-B2F3-FE4AAE6EE2EA}"/>
    <cellStyle name="Currency 3 2 2 2 2 3 4" xfId="10570" xr:uid="{2BCD7892-1AA3-4AFD-801A-EB96F43C7FEC}"/>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6B2701AB-7E5E-4201-BA97-7B8E23226499}"/>
    <cellStyle name="Currency 3 2 2 2 2 4 2 3" xfId="13128" xr:uid="{8A63C23D-8BA3-4A5B-B535-ABDF839E43C7}"/>
    <cellStyle name="Currency 3 2 2 2 2 4 3" xfId="5874" xr:uid="{00000000-0005-0000-0000-0000B40A0000}"/>
    <cellStyle name="Currency 3 2 2 2 2 4 3 2" xfId="15200" xr:uid="{749C93BC-8964-49E9-A8E7-F8E16D6182A4}"/>
    <cellStyle name="Currency 3 2 2 2 2 4 4" xfId="10983" xr:uid="{9596FB59-C89B-49F2-8B7B-78FC531BAAE8}"/>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EA7D629B-36ED-42EF-9787-FACD7EE68DC0}"/>
    <cellStyle name="Currency 3 2 2 2 2 5 2 3" xfId="13541" xr:uid="{C57808BC-DD72-4180-B9D2-4D75F1A4914E}"/>
    <cellStyle name="Currency 3 2 2 2 2 5 3" xfId="6287" xr:uid="{00000000-0005-0000-0000-0000B80A0000}"/>
    <cellStyle name="Currency 3 2 2 2 2 5 3 2" xfId="15613" xr:uid="{690C7E4B-DE10-47E4-9943-B73A2CD87BE5}"/>
    <cellStyle name="Currency 3 2 2 2 2 5 4" xfId="11396" xr:uid="{3A4BDA7A-B77B-429B-A504-76E221C9A410}"/>
    <cellStyle name="Currency 3 2 2 2 2 6" xfId="2416" xr:uid="{00000000-0005-0000-0000-0000B90A0000}"/>
    <cellStyle name="Currency 3 2 2 2 2 6 2" xfId="6700" xr:uid="{00000000-0005-0000-0000-0000BA0A0000}"/>
    <cellStyle name="Currency 3 2 2 2 2 6 2 2" xfId="16026" xr:uid="{5EFC90E0-BF39-4587-B081-467E23E214EB}"/>
    <cellStyle name="Currency 3 2 2 2 2 6 3" xfId="11809" xr:uid="{C367346B-9CE5-42CC-9830-E47B2167E8A6}"/>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AF9D8BC8-39A6-468A-B689-AE2F32A183DC}"/>
    <cellStyle name="Currency 3 2 2 2 2 8 3" xfId="12126" xr:uid="{C4BFDA0E-9248-4B90-BAC9-027F02382D0C}"/>
    <cellStyle name="Currency 3 2 2 2 2 9" xfId="4634" xr:uid="{00000000-0005-0000-0000-0000BE0A0000}"/>
    <cellStyle name="Currency 3 2 2 2 2 9 2" xfId="13960" xr:uid="{ACE673D6-7BE0-427C-816A-05A30708BAE7}"/>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C6E22F01-7A6D-46EE-AA75-C450D0343C3F}"/>
    <cellStyle name="Currency 3 2 2 2 3 2 3" xfId="12301" xr:uid="{CFDD15D7-B520-4F43-B6D5-690D129E8BAE}"/>
    <cellStyle name="Currency 3 2 2 2 3 3" xfId="5047" xr:uid="{00000000-0005-0000-0000-0000C20A0000}"/>
    <cellStyle name="Currency 3 2 2 2 3 3 2" xfId="14373" xr:uid="{1755A653-79FD-4A5F-ACE8-56D77439E887}"/>
    <cellStyle name="Currency 3 2 2 2 3 4" xfId="9336" xr:uid="{F86D5454-A503-484B-B8F3-81FF219E49D0}"/>
    <cellStyle name="Currency 3 2 2 2 3 5" xfId="10156" xr:uid="{1F64B7A1-AE73-4A24-ABD4-8DB9838DE8A3}"/>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A4F59FC2-8EE5-4B8E-9A26-65CF851FAB8D}"/>
    <cellStyle name="Currency 3 2 2 2 4 2 3" xfId="12714" xr:uid="{B1A528FC-F28C-443F-9E9F-D7D2924B7970}"/>
    <cellStyle name="Currency 3 2 2 2 4 3" xfId="5460" xr:uid="{00000000-0005-0000-0000-0000C60A0000}"/>
    <cellStyle name="Currency 3 2 2 2 4 3 2" xfId="14786" xr:uid="{9EDA8842-B6B2-4DA5-AA56-44637348679D}"/>
    <cellStyle name="Currency 3 2 2 2 4 4" xfId="10569" xr:uid="{31BA546B-2902-4430-B938-71D9E28E33EF}"/>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AF3B7434-2E8A-4E5E-99F1-CFAC1219497B}"/>
    <cellStyle name="Currency 3 2 2 2 5 2 3" xfId="13127" xr:uid="{0D3C0990-1982-4874-A64F-C46D52EDD8C7}"/>
    <cellStyle name="Currency 3 2 2 2 5 3" xfId="5873" xr:uid="{00000000-0005-0000-0000-0000CA0A0000}"/>
    <cellStyle name="Currency 3 2 2 2 5 3 2" xfId="15199" xr:uid="{EC5C91AA-561C-4E18-9F85-A7AD62F3B803}"/>
    <cellStyle name="Currency 3 2 2 2 5 4" xfId="10982" xr:uid="{39158ACE-0691-440E-95EE-2DE17965DD8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5390BC47-A02C-4573-AC59-14C70CAA3880}"/>
    <cellStyle name="Currency 3 2 2 2 6 2 3" xfId="13540" xr:uid="{B31B43FB-F177-4781-9C31-62BFF3027FA5}"/>
    <cellStyle name="Currency 3 2 2 2 6 3" xfId="6286" xr:uid="{00000000-0005-0000-0000-0000CE0A0000}"/>
    <cellStyle name="Currency 3 2 2 2 6 3 2" xfId="15612" xr:uid="{92C80E66-B53F-44E2-9324-925DA62D86C5}"/>
    <cellStyle name="Currency 3 2 2 2 6 4" xfId="11395" xr:uid="{0ED1954F-E640-4F7F-9F33-E8CBB4646E3D}"/>
    <cellStyle name="Currency 3 2 2 2 7" xfId="2415" xr:uid="{00000000-0005-0000-0000-0000CF0A0000}"/>
    <cellStyle name="Currency 3 2 2 2 7 2" xfId="6699" xr:uid="{00000000-0005-0000-0000-0000D00A0000}"/>
    <cellStyle name="Currency 3 2 2 2 7 2 2" xfId="16025" xr:uid="{424D54BD-AA8B-4609-B081-54A2717EBF17}"/>
    <cellStyle name="Currency 3 2 2 2 7 3" xfId="11808" xr:uid="{9339FF61-D4C2-4CC7-A9F6-8A9389D5B77F}"/>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8A906890-BF4D-48C6-B564-DCE66237610A}"/>
    <cellStyle name="Currency 3 2 2 2 9 3" xfId="12125" xr:uid="{725581A2-EDC7-467E-ACE1-40DD8054BEE9}"/>
    <cellStyle name="Currency 3 2 2 3" xfId="181" xr:uid="{00000000-0005-0000-0000-0000D40A0000}"/>
    <cellStyle name="Currency 3 2 2 3 10" xfId="9015" xr:uid="{A1C3FAFC-6FB9-45C5-A279-C90E61794A63}"/>
    <cellStyle name="Currency 3 2 2 3 11" xfId="9744" xr:uid="{F1D868C3-348A-4861-827E-E574B12CBD49}"/>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1242EB92-36ED-4C49-854D-90FC99CAC289}"/>
    <cellStyle name="Currency 3 2 2 3 2 2 3" xfId="12303" xr:uid="{3CB443B4-E376-4A8A-B172-09F3606B9CB1}"/>
    <cellStyle name="Currency 3 2 2 3 2 3" xfId="5049" xr:uid="{00000000-0005-0000-0000-0000D80A0000}"/>
    <cellStyle name="Currency 3 2 2 3 2 3 2" xfId="14375" xr:uid="{1BDFC6FF-8E2B-4C17-9172-B3B9AB863B43}"/>
    <cellStyle name="Currency 3 2 2 3 2 4" xfId="9440" xr:uid="{774D5512-BCA5-4224-A909-3336A63369C8}"/>
    <cellStyle name="Currency 3 2 2 3 2 5" xfId="10158" xr:uid="{6335973F-36F6-4236-BD53-9F6381C2559C}"/>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3A7E5737-EDA7-4048-8834-679A7BBEFA40}"/>
    <cellStyle name="Currency 3 2 2 3 3 2 3" xfId="12716" xr:uid="{E1E69A18-EC7D-4E68-8B33-882234F2A939}"/>
    <cellStyle name="Currency 3 2 2 3 3 3" xfId="5462" xr:uid="{00000000-0005-0000-0000-0000DC0A0000}"/>
    <cellStyle name="Currency 3 2 2 3 3 3 2" xfId="14788" xr:uid="{F7756CDD-175B-4CF2-A18E-81AF51651B1A}"/>
    <cellStyle name="Currency 3 2 2 3 3 4" xfId="10571" xr:uid="{AAAFF681-7CE0-4BAF-A269-79D013EDCDA5}"/>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DA208CD4-367C-46DA-A102-C88CF14B300E}"/>
    <cellStyle name="Currency 3 2 2 3 4 2 3" xfId="13129" xr:uid="{CDEF3F6B-4003-4C73-AE9A-11A99C0ADAF1}"/>
    <cellStyle name="Currency 3 2 2 3 4 3" xfId="5875" xr:uid="{00000000-0005-0000-0000-0000E00A0000}"/>
    <cellStyle name="Currency 3 2 2 3 4 3 2" xfId="15201" xr:uid="{38BDFE6D-4673-4AFE-902A-29D5442F6118}"/>
    <cellStyle name="Currency 3 2 2 3 4 4" xfId="10984" xr:uid="{EF439AFD-3A25-49E1-A7AE-CBB942A169CC}"/>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6477ECEC-9409-4DA4-857C-37C7F22783B5}"/>
    <cellStyle name="Currency 3 2 2 3 5 2 3" xfId="13542" xr:uid="{94AFAA01-0323-4CA9-BE03-32F27AD85FFA}"/>
    <cellStyle name="Currency 3 2 2 3 5 3" xfId="6288" xr:uid="{00000000-0005-0000-0000-0000E40A0000}"/>
    <cellStyle name="Currency 3 2 2 3 5 3 2" xfId="15614" xr:uid="{1ED1CD83-F207-4784-9E83-B875B57CFF3A}"/>
    <cellStyle name="Currency 3 2 2 3 5 4" xfId="11397" xr:uid="{9BAFA001-882D-4D69-905D-256A4BFB2AE2}"/>
    <cellStyle name="Currency 3 2 2 3 6" xfId="2417" xr:uid="{00000000-0005-0000-0000-0000E50A0000}"/>
    <cellStyle name="Currency 3 2 2 3 6 2" xfId="6701" xr:uid="{00000000-0005-0000-0000-0000E60A0000}"/>
    <cellStyle name="Currency 3 2 2 3 6 2 2" xfId="16027" xr:uid="{C64E710F-FCE4-4841-856F-944157398C16}"/>
    <cellStyle name="Currency 3 2 2 3 6 3" xfId="11810" xr:uid="{A7CCF6DA-8833-4792-9506-AA3D0F41375E}"/>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A5AEA744-6D41-4EC1-AF88-D5B791BBF31C}"/>
    <cellStyle name="Currency 3 2 2 3 8 3" xfId="12127" xr:uid="{D4758BD6-12BB-42C5-ACA6-1B77594E24FE}"/>
    <cellStyle name="Currency 3 2 2 3 9" xfId="4635" xr:uid="{00000000-0005-0000-0000-0000EA0A0000}"/>
    <cellStyle name="Currency 3 2 2 3 9 2" xfId="13961" xr:uid="{892E01F6-F05D-439E-B270-C31A487016BE}"/>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E0562D6D-A4B0-4A9C-BEF6-E98CE970657D}"/>
    <cellStyle name="Currency 3 2 2 4 2 3" xfId="12300" xr:uid="{C9DB3C8A-92C4-40BF-A3D9-1FBB2EEE1502}"/>
    <cellStyle name="Currency 3 2 2 4 3" xfId="5046" xr:uid="{00000000-0005-0000-0000-0000EE0A0000}"/>
    <cellStyle name="Currency 3 2 2 4 3 2" xfId="14372" xr:uid="{E6BFF019-2B49-4FF8-BC3D-9E824EB942C2}"/>
    <cellStyle name="Currency 3 2 2 4 4" xfId="9233" xr:uid="{A90843BF-65B1-48E5-9C93-A2651D7B4B13}"/>
    <cellStyle name="Currency 3 2 2 4 5" xfId="10155" xr:uid="{8FD7D20A-2C4F-4C8D-A702-CF4879B8FC8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4802BF2A-058B-4812-8D91-C78964D940EA}"/>
    <cellStyle name="Currency 3 2 2 5 2 3" xfId="12713" xr:uid="{4FB068FA-2865-4D36-B08B-60EB6705BC4E}"/>
    <cellStyle name="Currency 3 2 2 5 3" xfId="5459" xr:uid="{00000000-0005-0000-0000-0000F20A0000}"/>
    <cellStyle name="Currency 3 2 2 5 3 2" xfId="14785" xr:uid="{70F78D8B-6A8B-4CE3-95C6-9CD3A8F04F74}"/>
    <cellStyle name="Currency 3 2 2 5 4" xfId="10568" xr:uid="{D5171D88-00F9-44D3-B284-986032D8D846}"/>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A75E5FC9-A046-4365-A449-6EAEC5CCBE98}"/>
    <cellStyle name="Currency 3 2 2 6 2 3" xfId="13126" xr:uid="{3FA7F69A-7D13-4CE8-A262-5EC6AB514839}"/>
    <cellStyle name="Currency 3 2 2 6 3" xfId="5872" xr:uid="{00000000-0005-0000-0000-0000F60A0000}"/>
    <cellStyle name="Currency 3 2 2 6 3 2" xfId="15198" xr:uid="{887033FA-5469-4284-A965-B7CE63358F23}"/>
    <cellStyle name="Currency 3 2 2 6 4" xfId="10981" xr:uid="{B143C828-1CA4-49F1-BFAB-176273E750B5}"/>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FF1CA742-0A8B-4620-8376-954E6B41B9B5}"/>
    <cellStyle name="Currency 3 2 2 7 2 3" xfId="13539" xr:uid="{395936B1-F703-441C-9AF6-C6EAC184E51E}"/>
    <cellStyle name="Currency 3 2 2 7 3" xfId="6285" xr:uid="{00000000-0005-0000-0000-0000FA0A0000}"/>
    <cellStyle name="Currency 3 2 2 7 3 2" xfId="15611" xr:uid="{2FC9D47C-5C5D-4CF5-AC06-57E593ED4AE9}"/>
    <cellStyle name="Currency 3 2 2 7 4" xfId="11394" xr:uid="{10C633B7-E3D1-43D1-82D1-76EA47AA6075}"/>
    <cellStyle name="Currency 3 2 2 8" xfId="2414" xr:uid="{00000000-0005-0000-0000-0000FB0A0000}"/>
    <cellStyle name="Currency 3 2 2 8 2" xfId="6698" xr:uid="{00000000-0005-0000-0000-0000FC0A0000}"/>
    <cellStyle name="Currency 3 2 2 8 2 2" xfId="16024" xr:uid="{B110E7FD-3067-4299-A7F4-5D620E78FB8C}"/>
    <cellStyle name="Currency 3 2 2 8 3" xfId="11807" xr:uid="{87123725-C5B5-414D-BBD3-784A47D2DA6A}"/>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895CF023-BC69-4308-B276-241BF2123F58}"/>
    <cellStyle name="Currency 3 2 3 11" xfId="8893" xr:uid="{8CE28714-D587-402C-9A17-1A08799662D4}"/>
    <cellStyle name="Currency 3 2 3 12" xfId="9745" xr:uid="{791B83F4-51BE-4014-8D1C-3B6D825DB8C4}"/>
    <cellStyle name="Currency 3 2 3 2" xfId="183" xr:uid="{00000000-0005-0000-0000-0000000B0000}"/>
    <cellStyle name="Currency 3 2 3 2 10" xfId="9100" xr:uid="{CEBE1F40-0923-46C6-AB84-DD4DAB20CD81}"/>
    <cellStyle name="Currency 3 2 3 2 11" xfId="9746" xr:uid="{A8621B23-F579-4300-B74C-7A59303F48CF}"/>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23619F1B-45AA-446F-834F-2FAEE8610EA8}"/>
    <cellStyle name="Currency 3 2 3 2 2 2 3" xfId="12305" xr:uid="{D1F1737C-AE53-4083-AB53-9ABDAE6615D7}"/>
    <cellStyle name="Currency 3 2 3 2 2 3" xfId="5051" xr:uid="{00000000-0005-0000-0000-0000040B0000}"/>
    <cellStyle name="Currency 3 2 3 2 2 3 2" xfId="14377" xr:uid="{A3733894-B07B-4E72-901A-589ADD5D4AC8}"/>
    <cellStyle name="Currency 3 2 3 2 2 4" xfId="9525" xr:uid="{759374BA-DDD8-4F33-9655-B300986F8700}"/>
    <cellStyle name="Currency 3 2 3 2 2 5" xfId="10160" xr:uid="{44505EA8-4380-4DB6-9506-60BF847526A7}"/>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B98DFAF3-D096-4FC3-9B20-E7C281252FE8}"/>
    <cellStyle name="Currency 3 2 3 2 3 2 3" xfId="12718" xr:uid="{465A59C4-F607-4DFB-9919-3C1AAA9EFED5}"/>
    <cellStyle name="Currency 3 2 3 2 3 3" xfId="5464" xr:uid="{00000000-0005-0000-0000-0000080B0000}"/>
    <cellStyle name="Currency 3 2 3 2 3 3 2" xfId="14790" xr:uid="{1D31D127-BFC6-4E65-9CDF-D31D4FAD93D1}"/>
    <cellStyle name="Currency 3 2 3 2 3 4" xfId="10573" xr:uid="{C4BF3C1F-6900-4EDD-8DE0-1DB03D32E0DD}"/>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321F68B2-9632-495B-8834-7CEEC36646BC}"/>
    <cellStyle name="Currency 3 2 3 2 4 2 3" xfId="13131" xr:uid="{26017A1C-602D-4D86-8120-E5703A96788B}"/>
    <cellStyle name="Currency 3 2 3 2 4 3" xfId="5877" xr:uid="{00000000-0005-0000-0000-00000C0B0000}"/>
    <cellStyle name="Currency 3 2 3 2 4 3 2" xfId="15203" xr:uid="{3C5A7B50-D3D6-46F1-A43C-67FC993ACC11}"/>
    <cellStyle name="Currency 3 2 3 2 4 4" xfId="10986" xr:uid="{319ACCE7-B18B-4067-B455-05590F32BCBB}"/>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85D0A9BA-C956-4A96-950F-8244E61C3432}"/>
    <cellStyle name="Currency 3 2 3 2 5 2 3" xfId="13544" xr:uid="{5CCAD0BB-C1A2-4C29-9EC8-442FCCE4C701}"/>
    <cellStyle name="Currency 3 2 3 2 5 3" xfId="6290" xr:uid="{00000000-0005-0000-0000-0000100B0000}"/>
    <cellStyle name="Currency 3 2 3 2 5 3 2" xfId="15616" xr:uid="{08C8E3B2-BC77-4650-A184-DEEC36E4BC80}"/>
    <cellStyle name="Currency 3 2 3 2 5 4" xfId="11399" xr:uid="{72B00F12-5D44-488F-868F-AEF5F234262D}"/>
    <cellStyle name="Currency 3 2 3 2 6" xfId="2419" xr:uid="{00000000-0005-0000-0000-0000110B0000}"/>
    <cellStyle name="Currency 3 2 3 2 6 2" xfId="6703" xr:uid="{00000000-0005-0000-0000-0000120B0000}"/>
    <cellStyle name="Currency 3 2 3 2 6 2 2" xfId="16029" xr:uid="{333AEB8B-CC84-471F-BC8F-94AD577BDA65}"/>
    <cellStyle name="Currency 3 2 3 2 6 3" xfId="11812" xr:uid="{ACBD2C96-66D5-479C-8DFF-8F2632F9E620}"/>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E637049D-2CE1-4DCD-837E-059F6BC042B8}"/>
    <cellStyle name="Currency 3 2 3 2 8 3" xfId="12129" xr:uid="{844054E2-BD65-4DDB-9E7D-04E5C7CD501B}"/>
    <cellStyle name="Currency 3 2 3 2 9" xfId="4637" xr:uid="{00000000-0005-0000-0000-0000160B0000}"/>
    <cellStyle name="Currency 3 2 3 2 9 2" xfId="13963" xr:uid="{3F5F620E-D2B7-4AA4-BC5A-1A54232E8AC6}"/>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0E115546-993E-428A-99E6-C88EB307D3FD}"/>
    <cellStyle name="Currency 3 2 3 3 2 3" xfId="12304" xr:uid="{B5178F9C-866D-449F-8D75-8E39DF1EA154}"/>
    <cellStyle name="Currency 3 2 3 3 3" xfId="5050" xr:uid="{00000000-0005-0000-0000-00001A0B0000}"/>
    <cellStyle name="Currency 3 2 3 3 3 2" xfId="14376" xr:uid="{7855D3E9-9214-4477-8BF9-BB9FB649376C}"/>
    <cellStyle name="Currency 3 2 3 3 4" xfId="9318" xr:uid="{AA73873E-8E72-4FDE-A22E-F5D80E2A87B1}"/>
    <cellStyle name="Currency 3 2 3 3 5" xfId="10159" xr:uid="{9F91D66A-2957-49B0-B192-DA23839AB126}"/>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4D9A27EC-7268-4DFC-87B9-289756CACE1D}"/>
    <cellStyle name="Currency 3 2 3 4 2 3" xfId="12717" xr:uid="{17093DDC-6CAB-4022-8E37-081396109382}"/>
    <cellStyle name="Currency 3 2 3 4 3" xfId="5463" xr:uid="{00000000-0005-0000-0000-00001E0B0000}"/>
    <cellStyle name="Currency 3 2 3 4 3 2" xfId="14789" xr:uid="{AC1454E6-BF7B-4EDE-8DCE-BBDAE586934F}"/>
    <cellStyle name="Currency 3 2 3 4 4" xfId="10572" xr:uid="{11E67798-1F6E-4EF2-B5F3-AA8BD72CA64F}"/>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3E6D4E24-5CBD-4F9E-B1B6-E05614C14981}"/>
    <cellStyle name="Currency 3 2 3 5 2 3" xfId="13130" xr:uid="{3B3AA121-C615-451C-AA60-5FF6107B3001}"/>
    <cellStyle name="Currency 3 2 3 5 3" xfId="5876" xr:uid="{00000000-0005-0000-0000-0000220B0000}"/>
    <cellStyle name="Currency 3 2 3 5 3 2" xfId="15202" xr:uid="{9E9B964D-B700-4B93-B294-0CAE8587FCE4}"/>
    <cellStyle name="Currency 3 2 3 5 4" xfId="10985" xr:uid="{119AEACE-75C3-4081-8077-58E5308801C5}"/>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3BA3B626-8FBE-4E90-A33C-F23F1A6FEFC7}"/>
    <cellStyle name="Currency 3 2 3 6 2 3" xfId="13543" xr:uid="{2D9FADC7-B66D-433B-95F6-5D2DA9D74527}"/>
    <cellStyle name="Currency 3 2 3 6 3" xfId="6289" xr:uid="{00000000-0005-0000-0000-0000260B0000}"/>
    <cellStyle name="Currency 3 2 3 6 3 2" xfId="15615" xr:uid="{AD53380F-9FDA-4953-85AF-22C826BB13BB}"/>
    <cellStyle name="Currency 3 2 3 6 4" xfId="11398" xr:uid="{4A2EAF2C-E035-42DB-97CA-6ECA08F07707}"/>
    <cellStyle name="Currency 3 2 3 7" xfId="2418" xr:uid="{00000000-0005-0000-0000-0000270B0000}"/>
    <cellStyle name="Currency 3 2 3 7 2" xfId="6702" xr:uid="{00000000-0005-0000-0000-0000280B0000}"/>
    <cellStyle name="Currency 3 2 3 7 2 2" xfId="16028" xr:uid="{C8F3A5FD-E7D3-4072-965D-3874A793F434}"/>
    <cellStyle name="Currency 3 2 3 7 3" xfId="11811" xr:uid="{8E74E42F-3438-48F8-8256-2FB0347EEB40}"/>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05BA9DB3-4BBC-4D0C-AF6A-F2AAC8E57A9C}"/>
    <cellStyle name="Currency 3 2 3 9 3" xfId="12128" xr:uid="{91522340-65F5-42E7-A128-8A941BB533FA}"/>
    <cellStyle name="Currency 3 2 4" xfId="184" xr:uid="{00000000-0005-0000-0000-00002C0B0000}"/>
    <cellStyle name="Currency 3 2 4 10" xfId="8997" xr:uid="{DF9FC022-A382-4135-990F-F43A472E13BA}"/>
    <cellStyle name="Currency 3 2 4 11" xfId="9747" xr:uid="{0363C6EC-C215-40B1-AF24-4610788459BE}"/>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99A877D5-722E-401B-9CBF-B945ACB99406}"/>
    <cellStyle name="Currency 3 2 4 2 2 3" xfId="12306" xr:uid="{F267DBC2-4A0C-4945-951D-454B6EE7F153}"/>
    <cellStyle name="Currency 3 2 4 2 3" xfId="5052" xr:uid="{00000000-0005-0000-0000-0000300B0000}"/>
    <cellStyle name="Currency 3 2 4 2 3 2" xfId="14378" xr:uid="{0E10F93F-AB1D-48F3-AB8B-4123BF56DC5A}"/>
    <cellStyle name="Currency 3 2 4 2 4" xfId="9422" xr:uid="{3049B7CE-611E-437A-AD0B-2E3AA5E2E50D}"/>
    <cellStyle name="Currency 3 2 4 2 5" xfId="10161" xr:uid="{9035DEE3-FE80-40F4-A1D0-C334BBE37592}"/>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D838762B-2025-43FA-9777-E41EEEBE1FF4}"/>
    <cellStyle name="Currency 3 2 4 3 2 3" xfId="12719" xr:uid="{F05E9065-5EF2-4267-8430-D07BDE2F1DC0}"/>
    <cellStyle name="Currency 3 2 4 3 3" xfId="5465" xr:uid="{00000000-0005-0000-0000-0000340B0000}"/>
    <cellStyle name="Currency 3 2 4 3 3 2" xfId="14791" xr:uid="{73066BAF-DBD0-40E9-8222-C55D7F312DE2}"/>
    <cellStyle name="Currency 3 2 4 3 4" xfId="10574" xr:uid="{73E14088-6122-4680-A207-601694871BD7}"/>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331E700-A316-4C45-A345-BAF5DA561853}"/>
    <cellStyle name="Currency 3 2 4 4 2 3" xfId="13132" xr:uid="{14B6A4F1-F1E7-4724-B7A3-027D41CE25A5}"/>
    <cellStyle name="Currency 3 2 4 4 3" xfId="5878" xr:uid="{00000000-0005-0000-0000-0000380B0000}"/>
    <cellStyle name="Currency 3 2 4 4 3 2" xfId="15204" xr:uid="{C2472F86-A694-40B6-954B-AD04EBA3ED84}"/>
    <cellStyle name="Currency 3 2 4 4 4" xfId="10987" xr:uid="{93D2DAD5-7000-47C2-915C-75C3E1E99F19}"/>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9919BAC2-FE38-4F90-9280-E5BCDCAD5207}"/>
    <cellStyle name="Currency 3 2 4 5 2 3" xfId="13545" xr:uid="{6EDC10DA-AEDC-4272-92C3-93005D870CB4}"/>
    <cellStyle name="Currency 3 2 4 5 3" xfId="6291" xr:uid="{00000000-0005-0000-0000-00003C0B0000}"/>
    <cellStyle name="Currency 3 2 4 5 3 2" xfId="15617" xr:uid="{016CE4D9-FC3D-42CC-84FB-432696A45D14}"/>
    <cellStyle name="Currency 3 2 4 5 4" xfId="11400" xr:uid="{E5DCBC3D-60E0-4E7C-84BD-113682ED370C}"/>
    <cellStyle name="Currency 3 2 4 6" xfId="2420" xr:uid="{00000000-0005-0000-0000-00003D0B0000}"/>
    <cellStyle name="Currency 3 2 4 6 2" xfId="6704" xr:uid="{00000000-0005-0000-0000-00003E0B0000}"/>
    <cellStyle name="Currency 3 2 4 6 2 2" xfId="16030" xr:uid="{4CB39E51-653D-403A-8F19-36CAA05751BA}"/>
    <cellStyle name="Currency 3 2 4 6 3" xfId="11813" xr:uid="{8DE30B87-964D-41EC-B395-D1D948A88354}"/>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5704CFDD-7229-4D5D-94FB-76E9E538956D}"/>
    <cellStyle name="Currency 3 2 4 8 3" xfId="12130" xr:uid="{8E36F30B-640F-47D8-9029-0C5675A4BED6}"/>
    <cellStyle name="Currency 3 2 4 9" xfId="4638" xr:uid="{00000000-0005-0000-0000-0000420B0000}"/>
    <cellStyle name="Currency 3 2 4 9 2" xfId="13964" xr:uid="{1251C9BC-CF52-43FA-A34E-B0B9592E6EB9}"/>
    <cellStyle name="Currency 3 2 5" xfId="185" xr:uid="{00000000-0005-0000-0000-0000430B0000}"/>
    <cellStyle name="Currency 3 2 5 10" xfId="9214" xr:uid="{3D0A867F-0B9D-4759-A509-3EC1084E197B}"/>
    <cellStyle name="Currency 3 2 5 11" xfId="9748" xr:uid="{298583AD-73C3-44B1-A2AD-0DA7F5F2ABB2}"/>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43CF36A9-73F3-4DA9-9B6C-6659699165A2}"/>
    <cellStyle name="Currency 3 2 5 2 2 3" xfId="12307" xr:uid="{7B671EA5-E022-4D7F-B0CE-AE2F541298C0}"/>
    <cellStyle name="Currency 3 2 5 2 3" xfId="5053" xr:uid="{00000000-0005-0000-0000-0000470B0000}"/>
    <cellStyle name="Currency 3 2 5 2 3 2" xfId="14379" xr:uid="{1C7CC771-4DC1-4543-80B1-3B8E05A173D2}"/>
    <cellStyle name="Currency 3 2 5 2 4" xfId="9597" xr:uid="{6E2F978E-96E4-4AD8-B4BD-1BE9D7E96A2F}"/>
    <cellStyle name="Currency 3 2 5 2 5" xfId="10162" xr:uid="{8FD1CC58-CDEE-4A0F-B272-07F35B021AE4}"/>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6BF70A43-A9B3-4274-A323-6A3704914198}"/>
    <cellStyle name="Currency 3 2 5 3 2 3" xfId="12720" xr:uid="{5F8735A9-F0DC-4247-B863-58BA06277D32}"/>
    <cellStyle name="Currency 3 2 5 3 3" xfId="5466" xr:uid="{00000000-0005-0000-0000-00004B0B0000}"/>
    <cellStyle name="Currency 3 2 5 3 3 2" xfId="14792" xr:uid="{400C3690-6BA8-46A8-8969-1F06871880F2}"/>
    <cellStyle name="Currency 3 2 5 3 4" xfId="10575" xr:uid="{ED5CA3AF-3763-4CB4-AA9C-1ADE40374212}"/>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DCBFF97D-C4D0-49B0-9335-760B455ECB5E}"/>
    <cellStyle name="Currency 3 2 5 4 2 3" xfId="13133" xr:uid="{F64D7EAD-66A7-4DD7-B669-956E598E377E}"/>
    <cellStyle name="Currency 3 2 5 4 3" xfId="5879" xr:uid="{00000000-0005-0000-0000-00004F0B0000}"/>
    <cellStyle name="Currency 3 2 5 4 3 2" xfId="15205" xr:uid="{C23FB1A1-8DD1-4BF6-8A72-F1B1E53FEF96}"/>
    <cellStyle name="Currency 3 2 5 4 4" xfId="10988" xr:uid="{048347F5-C8CC-4E76-9D16-F6A533E34A4C}"/>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4D4A0738-6AE1-428A-BF40-615F03C87099}"/>
    <cellStyle name="Currency 3 2 5 5 2 3" xfId="13546" xr:uid="{13C11D42-8BEF-4651-90A1-D54EC57D8F34}"/>
    <cellStyle name="Currency 3 2 5 5 3" xfId="6292" xr:uid="{00000000-0005-0000-0000-0000530B0000}"/>
    <cellStyle name="Currency 3 2 5 5 3 2" xfId="15618" xr:uid="{6B13C714-A425-47D9-8907-1E3DCE24719F}"/>
    <cellStyle name="Currency 3 2 5 5 4" xfId="11401" xr:uid="{DA35CD9A-9804-4A60-B0BD-5840C8105213}"/>
    <cellStyle name="Currency 3 2 5 6" xfId="2421" xr:uid="{00000000-0005-0000-0000-0000540B0000}"/>
    <cellStyle name="Currency 3 2 5 6 2" xfId="6705" xr:uid="{00000000-0005-0000-0000-0000550B0000}"/>
    <cellStyle name="Currency 3 2 5 6 2 2" xfId="16031" xr:uid="{C61FFF3A-7DFD-4EEA-B9C6-D754E64363F6}"/>
    <cellStyle name="Currency 3 2 5 6 3" xfId="11814" xr:uid="{DDDD634B-240A-4AAF-808E-13E1F9E54376}"/>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EBAD1AAE-32A9-4FC9-8DC3-5BB4E5F9F030}"/>
    <cellStyle name="Currency 3 2 5 8 3" xfId="12131" xr:uid="{56712790-8541-4016-814E-D9F7C8AC32EB}"/>
    <cellStyle name="Currency 3 2 5 9" xfId="4639" xr:uid="{00000000-0005-0000-0000-0000590B0000}"/>
    <cellStyle name="Currency 3 2 5 9 2" xfId="13965" xr:uid="{119CF1C1-8160-4700-8CCA-C11410F5CFD5}"/>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B3C6444A-BE8D-447C-A0B8-79BBCCC42584}"/>
    <cellStyle name="Currency 5 2 2 2 10 3" xfId="12132" xr:uid="{76EBFDCE-42D3-425B-B3A4-D7F1103228F5}"/>
    <cellStyle name="Currency 5 2 2 2 11" xfId="4640" xr:uid="{00000000-0005-0000-0000-00006C0B0000}"/>
    <cellStyle name="Currency 5 2 2 2 11 2" xfId="13966" xr:uid="{9E929DD9-D36D-4BB2-BCD2-101A9D5EAA18}"/>
    <cellStyle name="Currency 5 2 2 2 12" xfId="8809" xr:uid="{6E2B58BA-BC61-49BF-A0FE-5BC79A050654}"/>
    <cellStyle name="Currency 5 2 2 2 13" xfId="9749" xr:uid="{87BFB631-2E8A-4FB6-9B45-EF2444654FA3}"/>
    <cellStyle name="Currency 5 2 2 2 2" xfId="197" xr:uid="{00000000-0005-0000-0000-00006D0B0000}"/>
    <cellStyle name="Currency 5 2 2 2 2 10" xfId="4641" xr:uid="{00000000-0005-0000-0000-00006E0B0000}"/>
    <cellStyle name="Currency 5 2 2 2 2 10 2" xfId="13967" xr:uid="{AE0D69D5-113D-4190-A6B8-0A3E60D6F216}"/>
    <cellStyle name="Currency 5 2 2 2 2 11" xfId="8912" xr:uid="{4079D27E-F98B-4445-AE20-FFD848158756}"/>
    <cellStyle name="Currency 5 2 2 2 2 12" xfId="9750" xr:uid="{C1DEDD75-06C8-4951-B9CC-46977B73AA5C}"/>
    <cellStyle name="Currency 5 2 2 2 2 2" xfId="198" xr:uid="{00000000-0005-0000-0000-00006F0B0000}"/>
    <cellStyle name="Currency 5 2 2 2 2 2 10" xfId="9119" xr:uid="{2B97CFE9-E9FD-476D-A341-C695293642F3}"/>
    <cellStyle name="Currency 5 2 2 2 2 2 11" xfId="9751" xr:uid="{16C0F548-36EC-4840-949E-B89AA8670951}"/>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261B3D3F-7711-4462-869E-866DFDA3F96D}"/>
    <cellStyle name="Currency 5 2 2 2 2 2 2 2 3" xfId="12310" xr:uid="{06283124-155C-4C3A-A75C-EEFE50BFB104}"/>
    <cellStyle name="Currency 5 2 2 2 2 2 2 3" xfId="5056" xr:uid="{00000000-0005-0000-0000-0000730B0000}"/>
    <cellStyle name="Currency 5 2 2 2 2 2 2 3 2" xfId="14382" xr:uid="{A521F4C4-A904-4F00-BCED-788CE00EE7FA}"/>
    <cellStyle name="Currency 5 2 2 2 2 2 2 4" xfId="9544" xr:uid="{77881B28-843C-4677-B92C-D2A5804BDB97}"/>
    <cellStyle name="Currency 5 2 2 2 2 2 2 5" xfId="10165" xr:uid="{7D490110-8A63-4C38-892B-4A5B0BB77D1F}"/>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1BF18737-BCAA-44CB-94B6-EC37F0669FCF}"/>
    <cellStyle name="Currency 5 2 2 2 2 2 3 2 3" xfId="12723" xr:uid="{C77F5023-D779-46D3-A5E9-2AF8376BD214}"/>
    <cellStyle name="Currency 5 2 2 2 2 2 3 3" xfId="5469" xr:uid="{00000000-0005-0000-0000-0000770B0000}"/>
    <cellStyle name="Currency 5 2 2 2 2 2 3 3 2" xfId="14795" xr:uid="{621DAC45-B5A0-4379-88F0-CA640433BFD2}"/>
    <cellStyle name="Currency 5 2 2 2 2 2 3 4" xfId="10578" xr:uid="{02441EC2-B6F9-4ACE-AC4C-7CB1E0F2D442}"/>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5DF16185-E39F-4C16-8E6D-C2A0444E1369}"/>
    <cellStyle name="Currency 5 2 2 2 2 2 4 2 3" xfId="13136" xr:uid="{82587A8F-A53A-430A-A4AB-224872980C22}"/>
    <cellStyle name="Currency 5 2 2 2 2 2 4 3" xfId="5882" xr:uid="{00000000-0005-0000-0000-00007B0B0000}"/>
    <cellStyle name="Currency 5 2 2 2 2 2 4 3 2" xfId="15208" xr:uid="{8B38BF69-DAB7-4E41-A7DA-CD117DE644BA}"/>
    <cellStyle name="Currency 5 2 2 2 2 2 4 4" xfId="10991" xr:uid="{BF30DA83-A2D0-4B29-A3CA-AA27BDB5B156}"/>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32A655BC-D43C-4F01-990E-3556C3DED3B3}"/>
    <cellStyle name="Currency 5 2 2 2 2 2 5 2 3" xfId="13549" xr:uid="{B87DA5A0-E3A2-4C8B-965B-A7C1A2BBB05E}"/>
    <cellStyle name="Currency 5 2 2 2 2 2 5 3" xfId="6295" xr:uid="{00000000-0005-0000-0000-00007F0B0000}"/>
    <cellStyle name="Currency 5 2 2 2 2 2 5 3 2" xfId="15621" xr:uid="{D7003ADB-497C-4836-B575-FE3278917487}"/>
    <cellStyle name="Currency 5 2 2 2 2 2 5 4" xfId="11404" xr:uid="{E6C83779-5A42-4B6D-A666-7B354EACB906}"/>
    <cellStyle name="Currency 5 2 2 2 2 2 6" xfId="2424" xr:uid="{00000000-0005-0000-0000-0000800B0000}"/>
    <cellStyle name="Currency 5 2 2 2 2 2 6 2" xfId="6708" xr:uid="{00000000-0005-0000-0000-0000810B0000}"/>
    <cellStyle name="Currency 5 2 2 2 2 2 6 2 2" xfId="16034" xr:uid="{62AF1B42-ED1E-428F-96A9-20379ECFA471}"/>
    <cellStyle name="Currency 5 2 2 2 2 2 6 3" xfId="11817" xr:uid="{BF26A92F-8D83-460E-8D27-89E174744C77}"/>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BEEEF92F-2568-4476-8393-47A17C201818}"/>
    <cellStyle name="Currency 5 2 2 2 2 2 8 3" xfId="12134" xr:uid="{98D02D27-AB2E-4635-A47F-3C37D5874C31}"/>
    <cellStyle name="Currency 5 2 2 2 2 2 9" xfId="4642" xr:uid="{00000000-0005-0000-0000-0000850B0000}"/>
    <cellStyle name="Currency 5 2 2 2 2 2 9 2" xfId="13968" xr:uid="{33179AAE-5C4A-4EC6-A02E-8DA037666156}"/>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D038D65A-8AB9-4B7C-9A9F-98C792CB2742}"/>
    <cellStyle name="Currency 5 2 2 2 2 3 2 3" xfId="12309" xr:uid="{A0C2AFDC-95F5-4FE9-8941-F142536F87D4}"/>
    <cellStyle name="Currency 5 2 2 2 2 3 3" xfId="5055" xr:uid="{00000000-0005-0000-0000-0000890B0000}"/>
    <cellStyle name="Currency 5 2 2 2 2 3 3 2" xfId="14381" xr:uid="{7358BE2D-BB32-493A-86A7-89AB7CF600FC}"/>
    <cellStyle name="Currency 5 2 2 2 2 3 4" xfId="9337" xr:uid="{A1FF44B9-A8E0-4A4E-9BE9-DA7FD7E326AE}"/>
    <cellStyle name="Currency 5 2 2 2 2 3 5" xfId="10164" xr:uid="{70CD0C4B-54EE-4C42-98B8-66F09A61CDA5}"/>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81E81D3A-52AD-4E5B-94F0-288B75CA18AC}"/>
    <cellStyle name="Currency 5 2 2 2 2 4 2 3" xfId="12722" xr:uid="{7504D42C-D640-4965-85D9-3459636A96E8}"/>
    <cellStyle name="Currency 5 2 2 2 2 4 3" xfId="5468" xr:uid="{00000000-0005-0000-0000-00008D0B0000}"/>
    <cellStyle name="Currency 5 2 2 2 2 4 3 2" xfId="14794" xr:uid="{ED7894A4-E027-4CBE-AD97-E0AAF7BBCEB1}"/>
    <cellStyle name="Currency 5 2 2 2 2 4 4" xfId="10577" xr:uid="{1A0B52B8-B7F3-4E24-A78A-079694687933}"/>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203A0216-F0A1-46B0-B991-5B1B9587E433}"/>
    <cellStyle name="Currency 5 2 2 2 2 5 2 3" xfId="13135" xr:uid="{62CDD646-B996-4290-97E5-B4E5265F85F9}"/>
    <cellStyle name="Currency 5 2 2 2 2 5 3" xfId="5881" xr:uid="{00000000-0005-0000-0000-0000910B0000}"/>
    <cellStyle name="Currency 5 2 2 2 2 5 3 2" xfId="15207" xr:uid="{215D0392-9F10-4978-9157-5CAAD825AA9A}"/>
    <cellStyle name="Currency 5 2 2 2 2 5 4" xfId="10990" xr:uid="{9A02B3E1-0C79-45BA-99BE-EBEC607B128C}"/>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72E30ADD-E144-48A7-98CD-DE88F0735202}"/>
    <cellStyle name="Currency 5 2 2 2 2 6 2 3" xfId="13548" xr:uid="{9D768B31-1301-4282-9A1B-B8E434AC6884}"/>
    <cellStyle name="Currency 5 2 2 2 2 6 3" xfId="6294" xr:uid="{00000000-0005-0000-0000-0000950B0000}"/>
    <cellStyle name="Currency 5 2 2 2 2 6 3 2" xfId="15620" xr:uid="{374B569F-A251-44A3-A942-0871FE6851B1}"/>
    <cellStyle name="Currency 5 2 2 2 2 6 4" xfId="11403" xr:uid="{0BECA440-2140-40F0-9701-18FEC1E73E69}"/>
    <cellStyle name="Currency 5 2 2 2 2 7" xfId="2423" xr:uid="{00000000-0005-0000-0000-0000960B0000}"/>
    <cellStyle name="Currency 5 2 2 2 2 7 2" xfId="6707" xr:uid="{00000000-0005-0000-0000-0000970B0000}"/>
    <cellStyle name="Currency 5 2 2 2 2 7 2 2" xfId="16033" xr:uid="{071E10C0-B7C9-4B2C-B62C-27E0F7959181}"/>
    <cellStyle name="Currency 5 2 2 2 2 7 3" xfId="11816" xr:uid="{B22D43A5-C7B8-46E0-91E3-ED2D7894C5F1}"/>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80BEC659-E88D-4ABE-B52A-DC4354092FF1}"/>
    <cellStyle name="Currency 5 2 2 2 2 9 3" xfId="12133" xr:uid="{E164DEF9-FBF1-4D12-B1BE-B0AFFF65D29F}"/>
    <cellStyle name="Currency 5 2 2 2 3" xfId="199" xr:uid="{00000000-0005-0000-0000-00009B0B0000}"/>
    <cellStyle name="Currency 5 2 2 2 3 10" xfId="9016" xr:uid="{706F9706-E49D-4995-B402-A842C879DBC8}"/>
    <cellStyle name="Currency 5 2 2 2 3 11" xfId="9752" xr:uid="{D72AD32D-3501-4ABE-85FC-EA61863BD6DF}"/>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E55C761E-DCD5-4785-AF6B-3D2EABF745B7}"/>
    <cellStyle name="Currency 5 2 2 2 3 2 2 3" xfId="12311" xr:uid="{EA78642E-FF15-4E31-A24F-40465370C489}"/>
    <cellStyle name="Currency 5 2 2 2 3 2 3" xfId="5057" xr:uid="{00000000-0005-0000-0000-00009F0B0000}"/>
    <cellStyle name="Currency 5 2 2 2 3 2 3 2" xfId="14383" xr:uid="{9D09EEA0-77CF-4977-9CC7-92CF2C9BD8D4}"/>
    <cellStyle name="Currency 5 2 2 2 3 2 4" xfId="9441" xr:uid="{B7048274-E02F-4E6A-9C9A-FAD4299F19B1}"/>
    <cellStyle name="Currency 5 2 2 2 3 2 5" xfId="10166" xr:uid="{22B0D03A-061B-4293-BD63-1CD1A24B34F7}"/>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51C86AB8-716A-4C44-ABA0-A8F2C4F65048}"/>
    <cellStyle name="Currency 5 2 2 2 3 3 2 3" xfId="12724" xr:uid="{D095D4E3-04D7-4528-B0CD-3242AC16C48B}"/>
    <cellStyle name="Currency 5 2 2 2 3 3 3" xfId="5470" xr:uid="{00000000-0005-0000-0000-0000A30B0000}"/>
    <cellStyle name="Currency 5 2 2 2 3 3 3 2" xfId="14796" xr:uid="{2FAFE657-A62D-488B-AD08-CB4166DC89EB}"/>
    <cellStyle name="Currency 5 2 2 2 3 3 4" xfId="10579" xr:uid="{9E969AC3-053E-4793-91BB-EB431C37794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8BFFCBAE-EF02-40CD-BD69-0DBA1F64AAAA}"/>
    <cellStyle name="Currency 5 2 2 2 3 4 2 3" xfId="13137" xr:uid="{31EF996B-A0CC-4A2C-B8CB-E9544ED83599}"/>
    <cellStyle name="Currency 5 2 2 2 3 4 3" xfId="5883" xr:uid="{00000000-0005-0000-0000-0000A70B0000}"/>
    <cellStyle name="Currency 5 2 2 2 3 4 3 2" xfId="15209" xr:uid="{49971735-489D-4290-9B36-534392A9CAF2}"/>
    <cellStyle name="Currency 5 2 2 2 3 4 4" xfId="10992" xr:uid="{7BA6760B-3A75-4D7E-9B50-264C06E5BEBB}"/>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F7651D2A-F4A7-4098-B5CD-73258A93DCC6}"/>
    <cellStyle name="Currency 5 2 2 2 3 5 2 3" xfId="13550" xr:uid="{5DDB339E-5136-465D-9774-20DC5AACFA95}"/>
    <cellStyle name="Currency 5 2 2 2 3 5 3" xfId="6296" xr:uid="{00000000-0005-0000-0000-0000AB0B0000}"/>
    <cellStyle name="Currency 5 2 2 2 3 5 3 2" xfId="15622" xr:uid="{E9BF4337-FBBA-403B-BFC6-ACDB129B5565}"/>
    <cellStyle name="Currency 5 2 2 2 3 5 4" xfId="11405" xr:uid="{F5F64232-81E7-4245-885D-C96B0EABFAEE}"/>
    <cellStyle name="Currency 5 2 2 2 3 6" xfId="2425" xr:uid="{00000000-0005-0000-0000-0000AC0B0000}"/>
    <cellStyle name="Currency 5 2 2 2 3 6 2" xfId="6709" xr:uid="{00000000-0005-0000-0000-0000AD0B0000}"/>
    <cellStyle name="Currency 5 2 2 2 3 6 2 2" xfId="16035" xr:uid="{48644663-8B2F-4F07-AF2A-F6A705D69F06}"/>
    <cellStyle name="Currency 5 2 2 2 3 6 3" xfId="11818" xr:uid="{5E31051C-256D-4188-ACE4-4E06EF533F0D}"/>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CD269A09-B29D-49B7-B3BE-1392B509E4AC}"/>
    <cellStyle name="Currency 5 2 2 2 3 8 3" xfId="12135" xr:uid="{9F6067F8-FC3C-4725-B8AE-F87C933307F6}"/>
    <cellStyle name="Currency 5 2 2 2 3 9" xfId="4643" xr:uid="{00000000-0005-0000-0000-0000B10B0000}"/>
    <cellStyle name="Currency 5 2 2 2 3 9 2" xfId="13969" xr:uid="{298DABEE-4CFC-4AC3-92A4-B9EE0FA26109}"/>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C9E27B11-350B-4623-B410-C88714A1B404}"/>
    <cellStyle name="Currency 5 2 2 2 4 2 3" xfId="12308" xr:uid="{4AA082A3-4C37-4EEC-81B9-CFF1A4E00EF0}"/>
    <cellStyle name="Currency 5 2 2 2 4 3" xfId="5054" xr:uid="{00000000-0005-0000-0000-0000B50B0000}"/>
    <cellStyle name="Currency 5 2 2 2 4 3 2" xfId="14380" xr:uid="{2AFF46C8-FB49-4437-BA88-E6D1EEF0D783}"/>
    <cellStyle name="Currency 5 2 2 2 4 4" xfId="9234" xr:uid="{AAF147FE-13D8-48BD-A722-062B96166D61}"/>
    <cellStyle name="Currency 5 2 2 2 4 5" xfId="10163" xr:uid="{595E16F7-8BE5-48E5-B1E0-5D8750B1A94D}"/>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07FC6BB1-1F05-4DC3-9089-E9ED38365F85}"/>
    <cellStyle name="Currency 5 2 2 2 5 2 3" xfId="12721" xr:uid="{74C4D7E3-37CF-4D5F-8045-4CB05A6D2653}"/>
    <cellStyle name="Currency 5 2 2 2 5 3" xfId="5467" xr:uid="{00000000-0005-0000-0000-0000B90B0000}"/>
    <cellStyle name="Currency 5 2 2 2 5 3 2" xfId="14793" xr:uid="{66D57F1B-E892-41B0-AD42-86AB186896A8}"/>
    <cellStyle name="Currency 5 2 2 2 5 4" xfId="10576" xr:uid="{189A90B3-1251-4E28-A267-B3A5CC502216}"/>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30F53025-A800-4766-8453-D71B26D31765}"/>
    <cellStyle name="Currency 5 2 2 2 6 2 3" xfId="13134" xr:uid="{5EFAD0A2-EBDF-41B3-8626-9084B2AB640F}"/>
    <cellStyle name="Currency 5 2 2 2 6 3" xfId="5880" xr:uid="{00000000-0005-0000-0000-0000BD0B0000}"/>
    <cellStyle name="Currency 5 2 2 2 6 3 2" xfId="15206" xr:uid="{8FCAA4F6-84AC-4939-BB4F-D1AEEDE0B947}"/>
    <cellStyle name="Currency 5 2 2 2 6 4" xfId="10989" xr:uid="{D3EF44DA-03FE-47B9-88ED-434BB9929E7D}"/>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E4289966-B47E-4A3E-B9A4-FD94EF64AF3F}"/>
    <cellStyle name="Currency 5 2 2 2 7 2 3" xfId="13547" xr:uid="{A0279CA9-0803-4D09-9740-6A2B36A3780F}"/>
    <cellStyle name="Currency 5 2 2 2 7 3" xfId="6293" xr:uid="{00000000-0005-0000-0000-0000C10B0000}"/>
    <cellStyle name="Currency 5 2 2 2 7 3 2" xfId="15619" xr:uid="{0A31A9E9-B847-48CC-974E-BF42DD6B3B29}"/>
    <cellStyle name="Currency 5 2 2 2 7 4" xfId="11402" xr:uid="{E2F9B05F-46D3-4E3A-B7FA-7BFB0096ED60}"/>
    <cellStyle name="Currency 5 2 2 2 8" xfId="2422" xr:uid="{00000000-0005-0000-0000-0000C20B0000}"/>
    <cellStyle name="Currency 5 2 2 2 8 2" xfId="6706" xr:uid="{00000000-0005-0000-0000-0000C30B0000}"/>
    <cellStyle name="Currency 5 2 2 2 8 2 2" xfId="16032" xr:uid="{84DE72BA-C1A3-49DE-A6F1-3C632827A054}"/>
    <cellStyle name="Currency 5 2 2 2 8 3" xfId="11815" xr:uid="{45A9E0A6-AEB0-452D-96A2-090D05761F69}"/>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EF3ACBA5-8E7C-4B67-812A-9D338D39A0B0}"/>
    <cellStyle name="Currency 5 2 2 3 11" xfId="8890" xr:uid="{F313D4EC-7666-4BAA-9452-39176957C213}"/>
    <cellStyle name="Currency 5 2 2 3 12" xfId="9753" xr:uid="{05304BE1-7CCE-4BD4-899A-7AF5D5967B58}"/>
    <cellStyle name="Currency 5 2 2 3 2" xfId="201" xr:uid="{00000000-0005-0000-0000-0000C70B0000}"/>
    <cellStyle name="Currency 5 2 2 3 2 10" xfId="9097" xr:uid="{74199D2F-F17A-42DD-AC8B-D958FBFFCA8B}"/>
    <cellStyle name="Currency 5 2 2 3 2 11" xfId="9754" xr:uid="{DD34CB3B-2A65-4B08-8C27-DA2336CB62C1}"/>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43CEDC11-F1AB-4C35-AA99-ACF7DFD5DF49}"/>
    <cellStyle name="Currency 5 2 2 3 2 2 2 3" xfId="12313" xr:uid="{914827C4-213F-4B43-8992-3988A58813F8}"/>
    <cellStyle name="Currency 5 2 2 3 2 2 3" xfId="5059" xr:uid="{00000000-0005-0000-0000-0000CB0B0000}"/>
    <cellStyle name="Currency 5 2 2 3 2 2 3 2" xfId="14385" xr:uid="{5794AC7A-7D07-45EC-921F-DE0A1B646CE9}"/>
    <cellStyle name="Currency 5 2 2 3 2 2 4" xfId="9522" xr:uid="{58EAFCD4-DA5B-47CB-A637-29DA003AA3FD}"/>
    <cellStyle name="Currency 5 2 2 3 2 2 5" xfId="10168" xr:uid="{56446735-3B1D-4231-8986-22CE7E4FBEC3}"/>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0BDAE9FF-2A1A-4F40-8176-3EE09C053E8B}"/>
    <cellStyle name="Currency 5 2 2 3 2 3 2 3" xfId="12726" xr:uid="{28B793E6-717C-4F16-9C62-CA757570BE0C}"/>
    <cellStyle name="Currency 5 2 2 3 2 3 3" xfId="5472" xr:uid="{00000000-0005-0000-0000-0000CF0B0000}"/>
    <cellStyle name="Currency 5 2 2 3 2 3 3 2" xfId="14798" xr:uid="{C7390100-D003-4744-B987-2A0077ABB05C}"/>
    <cellStyle name="Currency 5 2 2 3 2 3 4" xfId="10581" xr:uid="{9FC72BB4-4DB8-48BD-B638-414948B86B92}"/>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2B56E475-F826-435C-8A82-AE9934010F91}"/>
    <cellStyle name="Currency 5 2 2 3 2 4 2 3" xfId="13139" xr:uid="{70E0E961-3CCA-483F-B9D2-45E00EA4F988}"/>
    <cellStyle name="Currency 5 2 2 3 2 4 3" xfId="5885" xr:uid="{00000000-0005-0000-0000-0000D30B0000}"/>
    <cellStyle name="Currency 5 2 2 3 2 4 3 2" xfId="15211" xr:uid="{CF817CF1-F4F5-45B1-8812-9DC49E65BDD5}"/>
    <cellStyle name="Currency 5 2 2 3 2 4 4" xfId="10994" xr:uid="{C5B9A462-9A69-4B7A-A2CB-20E3516A633B}"/>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954CFF81-655B-4E5F-A387-A44886BBAA75}"/>
    <cellStyle name="Currency 5 2 2 3 2 5 2 3" xfId="13552" xr:uid="{E09EA1CE-528F-46D1-AF49-7C9DCD7C1F5F}"/>
    <cellStyle name="Currency 5 2 2 3 2 5 3" xfId="6298" xr:uid="{00000000-0005-0000-0000-0000D70B0000}"/>
    <cellStyle name="Currency 5 2 2 3 2 5 3 2" xfId="15624" xr:uid="{0AE17D07-F6F0-488D-8F7A-4A4254F1B945}"/>
    <cellStyle name="Currency 5 2 2 3 2 5 4" xfId="11407" xr:uid="{F168EF21-603A-4EB4-B34F-58178EE5F2BC}"/>
    <cellStyle name="Currency 5 2 2 3 2 6" xfId="2427" xr:uid="{00000000-0005-0000-0000-0000D80B0000}"/>
    <cellStyle name="Currency 5 2 2 3 2 6 2" xfId="6711" xr:uid="{00000000-0005-0000-0000-0000D90B0000}"/>
    <cellStyle name="Currency 5 2 2 3 2 6 2 2" xfId="16037" xr:uid="{1C2EFD10-4189-478A-8BC9-C027121FE623}"/>
    <cellStyle name="Currency 5 2 2 3 2 6 3" xfId="11820" xr:uid="{4B375E36-7D25-41EC-B67A-18960B0A45BE}"/>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BD79BE79-C3CD-4E6C-9603-F089344E7FDA}"/>
    <cellStyle name="Currency 5 2 2 3 2 8 3" xfId="12137" xr:uid="{430493D9-CFBD-4B30-8885-F8D1255510BC}"/>
    <cellStyle name="Currency 5 2 2 3 2 9" xfId="4645" xr:uid="{00000000-0005-0000-0000-0000DD0B0000}"/>
    <cellStyle name="Currency 5 2 2 3 2 9 2" xfId="13971" xr:uid="{3FBE5B1B-0986-4688-A59A-C31050AE50C6}"/>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4213B067-682C-4196-A15B-AD26C02C992F}"/>
    <cellStyle name="Currency 5 2 2 3 3 2 3" xfId="12312" xr:uid="{9C80E881-7783-4815-B43A-A63F5DAE2ED9}"/>
    <cellStyle name="Currency 5 2 2 3 3 3" xfId="5058" xr:uid="{00000000-0005-0000-0000-0000E10B0000}"/>
    <cellStyle name="Currency 5 2 2 3 3 3 2" xfId="14384" xr:uid="{8F498B1C-0892-4863-94F0-0940CAA9428A}"/>
    <cellStyle name="Currency 5 2 2 3 3 4" xfId="9315" xr:uid="{A76EC348-1CDB-41C1-B9B8-9215FF30C619}"/>
    <cellStyle name="Currency 5 2 2 3 3 5" xfId="10167" xr:uid="{52F78315-B335-4600-A1FC-95F83D3E5E0E}"/>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A86914D6-5F6A-4F98-8669-66044618831C}"/>
    <cellStyle name="Currency 5 2 2 3 4 2 3" xfId="12725" xr:uid="{18D6FA9A-9928-4052-A1D4-48EE19CB21FB}"/>
    <cellStyle name="Currency 5 2 2 3 4 3" xfId="5471" xr:uid="{00000000-0005-0000-0000-0000E50B0000}"/>
    <cellStyle name="Currency 5 2 2 3 4 3 2" xfId="14797" xr:uid="{6348529E-51BD-4316-A1DE-56B338409F57}"/>
    <cellStyle name="Currency 5 2 2 3 4 4" xfId="10580" xr:uid="{647CD310-8837-4398-892B-9E1FB8B6C851}"/>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B704B17F-1D5C-4CFC-A250-F162BFE72252}"/>
    <cellStyle name="Currency 5 2 2 3 5 2 3" xfId="13138" xr:uid="{B0E7BBF5-FF55-446C-B026-4B7D3B13E222}"/>
    <cellStyle name="Currency 5 2 2 3 5 3" xfId="5884" xr:uid="{00000000-0005-0000-0000-0000E90B0000}"/>
    <cellStyle name="Currency 5 2 2 3 5 3 2" xfId="15210" xr:uid="{9FE8A6BE-A582-48C1-8785-1D2EE00AEA74}"/>
    <cellStyle name="Currency 5 2 2 3 5 4" xfId="10993" xr:uid="{C2767F21-371D-4C3A-B07D-BABB918C172A}"/>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72F8A177-8958-423B-8D85-CB97AED320E7}"/>
    <cellStyle name="Currency 5 2 2 3 6 2 3" xfId="13551" xr:uid="{FF1E7C38-5DF6-4D5C-88F5-47CF1EC8E7C4}"/>
    <cellStyle name="Currency 5 2 2 3 6 3" xfId="6297" xr:uid="{00000000-0005-0000-0000-0000ED0B0000}"/>
    <cellStyle name="Currency 5 2 2 3 6 3 2" xfId="15623" xr:uid="{7C858C05-A3F6-4092-ACD6-7D4226EB94B7}"/>
    <cellStyle name="Currency 5 2 2 3 6 4" xfId="11406" xr:uid="{96951D3D-F3E1-45D5-AC5E-193D49A567C6}"/>
    <cellStyle name="Currency 5 2 2 3 7" xfId="2426" xr:uid="{00000000-0005-0000-0000-0000EE0B0000}"/>
    <cellStyle name="Currency 5 2 2 3 7 2" xfId="6710" xr:uid="{00000000-0005-0000-0000-0000EF0B0000}"/>
    <cellStyle name="Currency 5 2 2 3 7 2 2" xfId="16036" xr:uid="{42DCB003-B73C-479A-A167-9F25DD99859A}"/>
    <cellStyle name="Currency 5 2 2 3 7 3" xfId="11819" xr:uid="{5BBC84CB-53F5-4671-B4AD-E247EABFBC9C}"/>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BD5CA8C8-3254-47C8-8BFB-2CCF3D2AC6FC}"/>
    <cellStyle name="Currency 5 2 2 3 9 3" xfId="12136" xr:uid="{2C7B041F-F998-490D-B73D-547D73091B9E}"/>
    <cellStyle name="Currency 5 2 2 4" xfId="202" xr:uid="{00000000-0005-0000-0000-0000F30B0000}"/>
    <cellStyle name="Currency 5 2 2 4 10" xfId="8994" xr:uid="{484CCE7A-1288-4C7F-ABD6-C45948DC4EC0}"/>
    <cellStyle name="Currency 5 2 2 4 11" xfId="9755" xr:uid="{BCB9C23A-6BC1-4483-A681-1AA4966EA7B5}"/>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FBF4C873-54EF-4215-AA7C-DBCD63FC4486}"/>
    <cellStyle name="Currency 5 2 2 4 2 2 3" xfId="12314" xr:uid="{0CF3C7F7-4E96-4DDE-B2B7-D85345A31C58}"/>
    <cellStyle name="Currency 5 2 2 4 2 3" xfId="5060" xr:uid="{00000000-0005-0000-0000-0000F70B0000}"/>
    <cellStyle name="Currency 5 2 2 4 2 3 2" xfId="14386" xr:uid="{CD1A4782-26B2-4917-B521-C4327120CA5B}"/>
    <cellStyle name="Currency 5 2 2 4 2 4" xfId="9419" xr:uid="{F03E4D2E-3BA9-4D5B-9C35-959DB128CBAE}"/>
    <cellStyle name="Currency 5 2 2 4 2 5" xfId="10169" xr:uid="{D8F11731-FCD0-4481-BEED-783AFC233EA7}"/>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3A1392E4-3E94-4337-A8B1-9227114CB12C}"/>
    <cellStyle name="Currency 5 2 2 4 3 2 3" xfId="12727" xr:uid="{4C90DCBB-85EF-4EE8-BC58-9AD92199A4CF}"/>
    <cellStyle name="Currency 5 2 2 4 3 3" xfId="5473" xr:uid="{00000000-0005-0000-0000-0000FB0B0000}"/>
    <cellStyle name="Currency 5 2 2 4 3 3 2" xfId="14799" xr:uid="{81E8DE96-F53E-4EA5-8C46-BB409937A2C5}"/>
    <cellStyle name="Currency 5 2 2 4 3 4" xfId="10582" xr:uid="{D657BAF2-0874-405D-92E7-19C5DC8BFADB}"/>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248A186C-03E3-44ED-B302-FEE867090B43}"/>
    <cellStyle name="Currency 5 2 2 4 4 2 3" xfId="13140" xr:uid="{E5066D91-E1DD-459E-A203-CDE188EE6C07}"/>
    <cellStyle name="Currency 5 2 2 4 4 3" xfId="5886" xr:uid="{00000000-0005-0000-0000-0000FF0B0000}"/>
    <cellStyle name="Currency 5 2 2 4 4 3 2" xfId="15212" xr:uid="{38BD3EF6-171B-4513-A2DC-8281D8BBDDC5}"/>
    <cellStyle name="Currency 5 2 2 4 4 4" xfId="10995" xr:uid="{FC92450F-8162-45C1-8340-241FC8EB36F1}"/>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7F6381E0-500D-4873-A74B-2C6E3501A178}"/>
    <cellStyle name="Currency 5 2 2 4 5 2 3" xfId="13553" xr:uid="{41C67AA1-64E0-4A16-AA0E-00D6D5D11D3B}"/>
    <cellStyle name="Currency 5 2 2 4 5 3" xfId="6299" xr:uid="{00000000-0005-0000-0000-0000030C0000}"/>
    <cellStyle name="Currency 5 2 2 4 5 3 2" xfId="15625" xr:uid="{33A9F77A-7038-47FB-9F04-3C7A37DE656B}"/>
    <cellStyle name="Currency 5 2 2 4 5 4" xfId="11408" xr:uid="{2D5A523A-1374-45C2-9FCB-65BE13BF295D}"/>
    <cellStyle name="Currency 5 2 2 4 6" xfId="2428" xr:uid="{00000000-0005-0000-0000-0000040C0000}"/>
    <cellStyle name="Currency 5 2 2 4 6 2" xfId="6712" xr:uid="{00000000-0005-0000-0000-0000050C0000}"/>
    <cellStyle name="Currency 5 2 2 4 6 2 2" xfId="16038" xr:uid="{44D6740A-B429-4B6B-B30F-8FF1FBEAE6FE}"/>
    <cellStyle name="Currency 5 2 2 4 6 3" xfId="11821" xr:uid="{651C63F7-E44C-4353-A4CB-C45CAB8E3BE0}"/>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A993AA91-E0A1-4296-A857-7D51C7D1190A}"/>
    <cellStyle name="Currency 5 2 2 4 8 3" xfId="12138" xr:uid="{91E62B77-F180-4735-87A0-84D395EE9CC6}"/>
    <cellStyle name="Currency 5 2 2 4 9" xfId="4646" xr:uid="{00000000-0005-0000-0000-0000090C0000}"/>
    <cellStyle name="Currency 5 2 2 4 9 2" xfId="13972" xr:uid="{AF37B66E-6794-4564-89B7-F535617EC995}"/>
    <cellStyle name="Currency 5 2 2 5" xfId="203" xr:uid="{00000000-0005-0000-0000-00000A0C0000}"/>
    <cellStyle name="Currency 5 2 2 5 10" xfId="9211" xr:uid="{586E1D8D-A72F-44A2-BAB5-A0BAD4827F6D}"/>
    <cellStyle name="Currency 5 2 2 5 11" xfId="9756" xr:uid="{9557836E-93DF-4B18-A729-A2CAE39B89EA}"/>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8E5BABFC-08CB-49E0-98E6-4D3FC5524AF0}"/>
    <cellStyle name="Currency 5 2 2 5 2 2 3" xfId="12315" xr:uid="{0D7FA988-B7BF-4053-B3F3-F9CFB1EF3473}"/>
    <cellStyle name="Currency 5 2 2 5 2 3" xfId="5061" xr:uid="{00000000-0005-0000-0000-00000E0C0000}"/>
    <cellStyle name="Currency 5 2 2 5 2 3 2" xfId="14387" xr:uid="{73DB2215-FFD0-400F-9E86-26CBB6AE190C}"/>
    <cellStyle name="Currency 5 2 2 5 2 4" xfId="9598" xr:uid="{EBD3270B-608E-49E1-8A20-C5ADF81FBC1B}"/>
    <cellStyle name="Currency 5 2 2 5 2 5" xfId="10170" xr:uid="{F4892FD6-F77F-4E50-9D97-ADD37A058283}"/>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0A7DBE8C-B171-42C8-8360-3A20869AE1B6}"/>
    <cellStyle name="Currency 5 2 2 5 3 2 3" xfId="12728" xr:uid="{6DE60291-1FB4-4759-93DF-9116B3B2198D}"/>
    <cellStyle name="Currency 5 2 2 5 3 3" xfId="5474" xr:uid="{00000000-0005-0000-0000-0000120C0000}"/>
    <cellStyle name="Currency 5 2 2 5 3 3 2" xfId="14800" xr:uid="{6C2F5C7F-9087-416A-9CFB-882CF7309AB3}"/>
    <cellStyle name="Currency 5 2 2 5 3 4" xfId="10583" xr:uid="{031510FA-4D14-44EF-A953-770775B2E2F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C21D483F-F137-430E-92F4-B6FDBE5904EC}"/>
    <cellStyle name="Currency 5 2 2 5 4 2 3" xfId="13141" xr:uid="{CE1D9A84-7C9E-4911-8B55-357FDF42D73E}"/>
    <cellStyle name="Currency 5 2 2 5 4 3" xfId="5887" xr:uid="{00000000-0005-0000-0000-0000160C0000}"/>
    <cellStyle name="Currency 5 2 2 5 4 3 2" xfId="15213" xr:uid="{3668ADE9-D610-405C-AC78-ECE351E3D4DA}"/>
    <cellStyle name="Currency 5 2 2 5 4 4" xfId="10996" xr:uid="{0796ADC2-8485-4032-8AD1-A7A83BE79B3C}"/>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3E0C1038-F133-46A4-81D6-52FB2EF0955D}"/>
    <cellStyle name="Currency 5 2 2 5 5 2 3" xfId="13554" xr:uid="{FF59E558-C6E6-470D-9440-2B3C7730EFAC}"/>
    <cellStyle name="Currency 5 2 2 5 5 3" xfId="6300" xr:uid="{00000000-0005-0000-0000-00001A0C0000}"/>
    <cellStyle name="Currency 5 2 2 5 5 3 2" xfId="15626" xr:uid="{B39BC79F-FE71-4DDD-87AA-9922073330F1}"/>
    <cellStyle name="Currency 5 2 2 5 5 4" xfId="11409" xr:uid="{16A1B463-17A1-489E-8487-D49297FCEC2B}"/>
    <cellStyle name="Currency 5 2 2 5 6" xfId="2429" xr:uid="{00000000-0005-0000-0000-00001B0C0000}"/>
    <cellStyle name="Currency 5 2 2 5 6 2" xfId="6713" xr:uid="{00000000-0005-0000-0000-00001C0C0000}"/>
    <cellStyle name="Currency 5 2 2 5 6 2 2" xfId="16039" xr:uid="{897DA102-B25C-4ADD-BCC1-AA0695A0127D}"/>
    <cellStyle name="Currency 5 2 2 5 6 3" xfId="11822" xr:uid="{F2D2B0D1-A097-4746-BFCB-CA300A370F60}"/>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50D30370-9839-4CE3-B202-CA667AA4CCF2}"/>
    <cellStyle name="Currency 5 2 2 5 8 3" xfId="12139" xr:uid="{D2447E65-D815-423B-90A4-4B25A6495389}"/>
    <cellStyle name="Currency 5 2 2 5 9" xfId="4647" xr:uid="{00000000-0005-0000-0000-0000200C0000}"/>
    <cellStyle name="Currency 5 2 2 5 9 2" xfId="13973" xr:uid="{9D9B4A52-AD8A-4B69-BF48-55D99489E94E}"/>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A39452E4-D5D6-4DFD-9CD2-F03BE728E02A}"/>
    <cellStyle name="Currency 5 2 4 11" xfId="8859" xr:uid="{D3A5F8AD-5F4E-4BEA-A9B4-9A705A015524}"/>
    <cellStyle name="Currency 5 2 4 12" xfId="9757" xr:uid="{61B52224-D461-4442-9B10-FE7ED061D7F3}"/>
    <cellStyle name="Currency 5 2 4 2" xfId="206" xr:uid="{00000000-0005-0000-0000-0000250C0000}"/>
    <cellStyle name="Currency 5 2 4 2 10" xfId="9066" xr:uid="{2F7A28AF-2120-4AAF-A58B-33C2E07F597D}"/>
    <cellStyle name="Currency 5 2 4 2 11" xfId="9758" xr:uid="{677527CD-4B2E-4D83-AFA8-6D3AC658D77F}"/>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9F673F1E-5327-4729-B9B4-D1542CB44481}"/>
    <cellStyle name="Currency 5 2 4 2 2 2 3" xfId="12317" xr:uid="{85328E3A-29AD-406D-9620-C5950CEEC100}"/>
    <cellStyle name="Currency 5 2 4 2 2 3" xfId="5063" xr:uid="{00000000-0005-0000-0000-0000290C0000}"/>
    <cellStyle name="Currency 5 2 4 2 2 3 2" xfId="14389" xr:uid="{4AFD3CD2-CF3C-45AB-AA00-FE3F834F0047}"/>
    <cellStyle name="Currency 5 2 4 2 2 4" xfId="9491" xr:uid="{64B868C7-9024-4970-9E74-7DF82417BD7A}"/>
    <cellStyle name="Currency 5 2 4 2 2 5" xfId="10172" xr:uid="{34BDA623-0922-45E9-926F-7C9241E36F09}"/>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AFE576CE-8942-475C-AF1C-38A067D6D9C2}"/>
    <cellStyle name="Currency 5 2 4 2 3 2 3" xfId="12730" xr:uid="{C14E0DED-DCF4-41B4-B173-2E9A7ACD8CA2}"/>
    <cellStyle name="Currency 5 2 4 2 3 3" xfId="5476" xr:uid="{00000000-0005-0000-0000-00002D0C0000}"/>
    <cellStyle name="Currency 5 2 4 2 3 3 2" xfId="14802" xr:uid="{439B039C-8692-42BF-9B7E-AF2C686AF30D}"/>
    <cellStyle name="Currency 5 2 4 2 3 4" xfId="10585" xr:uid="{D52B0EE3-6E07-4957-883C-07D3EC401793}"/>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5C51A1D2-A709-4E34-B7E4-5C043DF44E66}"/>
    <cellStyle name="Currency 5 2 4 2 4 2 3" xfId="13143" xr:uid="{3275BE1F-BBA4-44D6-A557-CB033DC3B41D}"/>
    <cellStyle name="Currency 5 2 4 2 4 3" xfId="5889" xr:uid="{00000000-0005-0000-0000-0000310C0000}"/>
    <cellStyle name="Currency 5 2 4 2 4 3 2" xfId="15215" xr:uid="{A5612138-EB9A-4C50-9C27-263F24B2AB09}"/>
    <cellStyle name="Currency 5 2 4 2 4 4" xfId="10998" xr:uid="{57F435FB-FA3A-47C3-8DF1-E4116E92B54C}"/>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C4EF0019-388B-4546-9A66-DA81D772D95C}"/>
    <cellStyle name="Currency 5 2 4 2 5 2 3" xfId="13556" xr:uid="{068C5901-06BD-457C-AB20-06D4CB173FF6}"/>
    <cellStyle name="Currency 5 2 4 2 5 3" xfId="6302" xr:uid="{00000000-0005-0000-0000-0000350C0000}"/>
    <cellStyle name="Currency 5 2 4 2 5 3 2" xfId="15628" xr:uid="{A2F4E3EC-CFEF-49D2-979C-FA90DD36BAFB}"/>
    <cellStyle name="Currency 5 2 4 2 5 4" xfId="11411" xr:uid="{D28240BA-A755-4721-9A90-DB394AF03889}"/>
    <cellStyle name="Currency 5 2 4 2 6" xfId="2431" xr:uid="{00000000-0005-0000-0000-0000360C0000}"/>
    <cellStyle name="Currency 5 2 4 2 6 2" xfId="6715" xr:uid="{00000000-0005-0000-0000-0000370C0000}"/>
    <cellStyle name="Currency 5 2 4 2 6 2 2" xfId="16041" xr:uid="{BCC1AA07-C983-4B7F-BCDE-1058EF140976}"/>
    <cellStyle name="Currency 5 2 4 2 6 3" xfId="11824" xr:uid="{683A679D-389B-46CB-8C45-2FACC611327E}"/>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F4C526A3-A9FD-4791-B980-74175B6E2774}"/>
    <cellStyle name="Currency 5 2 4 2 8 3" xfId="12141" xr:uid="{97D6F969-868D-47BD-9012-8B95261D457D}"/>
    <cellStyle name="Currency 5 2 4 2 9" xfId="4649" xr:uid="{00000000-0005-0000-0000-00003B0C0000}"/>
    <cellStyle name="Currency 5 2 4 2 9 2" xfId="13975" xr:uid="{42E5FD1D-695A-47D6-A531-F6553467FAF4}"/>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9A9B4619-2660-418E-8D1C-0BB3F45CD106}"/>
    <cellStyle name="Currency 5 2 4 3 2 3" xfId="12316" xr:uid="{DD5F138F-69E0-41DB-9639-56F2CC687C35}"/>
    <cellStyle name="Currency 5 2 4 3 3" xfId="5062" xr:uid="{00000000-0005-0000-0000-00003F0C0000}"/>
    <cellStyle name="Currency 5 2 4 3 3 2" xfId="14388" xr:uid="{88FE5431-031B-4FDE-8740-72BD083CE497}"/>
    <cellStyle name="Currency 5 2 4 3 4" xfId="9284" xr:uid="{1D0B72AC-AFAC-428F-8BF0-6DFF9565613D}"/>
    <cellStyle name="Currency 5 2 4 3 5" xfId="10171" xr:uid="{0F73DBE8-8859-4F01-A1EE-A7B49985FD63}"/>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E1610FED-7EDA-473C-BFA8-CDB96D015F12}"/>
    <cellStyle name="Currency 5 2 4 4 2 3" xfId="12729" xr:uid="{E8500C0E-9AF8-4379-96E9-31C31E0746DA}"/>
    <cellStyle name="Currency 5 2 4 4 3" xfId="5475" xr:uid="{00000000-0005-0000-0000-0000430C0000}"/>
    <cellStyle name="Currency 5 2 4 4 3 2" xfId="14801" xr:uid="{320CD15D-E420-4BFD-B084-57B59255644B}"/>
    <cellStyle name="Currency 5 2 4 4 4" xfId="10584" xr:uid="{645DD1FC-EB9A-49D3-BDDF-BD97E718C9EF}"/>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CC6B55C6-197E-413B-9B3B-A8D52337B36D}"/>
    <cellStyle name="Currency 5 2 4 5 2 3" xfId="13142" xr:uid="{8E758E04-4FC8-42D4-8505-CE6ECF0F71B4}"/>
    <cellStyle name="Currency 5 2 4 5 3" xfId="5888" xr:uid="{00000000-0005-0000-0000-0000470C0000}"/>
    <cellStyle name="Currency 5 2 4 5 3 2" xfId="15214" xr:uid="{C40136F6-66CD-47F5-899B-45B3EFD85634}"/>
    <cellStyle name="Currency 5 2 4 5 4" xfId="10997" xr:uid="{24276660-DAF2-4FE2-9FE6-BE7CD74CEAF8}"/>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109B173F-85F3-48D4-AF70-D8C2C4E62A8A}"/>
    <cellStyle name="Currency 5 2 4 6 2 3" xfId="13555" xr:uid="{7C246D4B-6B1C-4B57-900F-676D7CF13CC9}"/>
    <cellStyle name="Currency 5 2 4 6 3" xfId="6301" xr:uid="{00000000-0005-0000-0000-00004B0C0000}"/>
    <cellStyle name="Currency 5 2 4 6 3 2" xfId="15627" xr:uid="{605206D1-9A55-4B79-8922-1582E78056A9}"/>
    <cellStyle name="Currency 5 2 4 6 4" xfId="11410" xr:uid="{B2F743C3-D2C8-4309-ABC7-5AE343745483}"/>
    <cellStyle name="Currency 5 2 4 7" xfId="2430" xr:uid="{00000000-0005-0000-0000-00004C0C0000}"/>
    <cellStyle name="Currency 5 2 4 7 2" xfId="6714" xr:uid="{00000000-0005-0000-0000-00004D0C0000}"/>
    <cellStyle name="Currency 5 2 4 7 2 2" xfId="16040" xr:uid="{EA1C939C-785C-4BAD-A38D-D0800FB20B86}"/>
    <cellStyle name="Currency 5 2 4 7 3" xfId="11823" xr:uid="{926465B8-AE27-468F-84BD-BA612A67ED29}"/>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21D27E88-CD1F-4B59-A870-DCEB946BE3DC}"/>
    <cellStyle name="Currency 5 2 4 9 3" xfId="12140" xr:uid="{07C63DD1-2A4F-45D8-9DF9-8C02B395486C}"/>
    <cellStyle name="Currency 5 2 5" xfId="207" xr:uid="{00000000-0005-0000-0000-0000510C0000}"/>
    <cellStyle name="Currency 5 2 5 10" xfId="8975" xr:uid="{3422EC31-C47F-46E0-A50C-FE05B1979387}"/>
    <cellStyle name="Currency 5 2 5 11" xfId="9759" xr:uid="{B74AE5E1-4AC1-4E82-B449-CE99CEA8E9C3}"/>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7A0B81F4-8FA5-4549-ABCD-8BB5C72DF8B3}"/>
    <cellStyle name="Currency 5 2 5 2 2 3" xfId="12318" xr:uid="{E8EC13D1-86E2-47DD-AE60-A95437C23484}"/>
    <cellStyle name="Currency 5 2 5 2 3" xfId="5064" xr:uid="{00000000-0005-0000-0000-0000550C0000}"/>
    <cellStyle name="Currency 5 2 5 2 3 2" xfId="14390" xr:uid="{58E07A64-328C-40BA-880D-C83AAF5CA183}"/>
    <cellStyle name="Currency 5 2 5 2 4" xfId="9400" xr:uid="{6620DDCD-05C0-4AFD-8A83-F1190101CCB3}"/>
    <cellStyle name="Currency 5 2 5 2 5" xfId="10173" xr:uid="{1CF3D5FC-29D3-4DA5-9BEA-5F5E806141A0}"/>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66903933-F98D-47AE-B3DA-8B425014B504}"/>
    <cellStyle name="Currency 5 2 5 3 2 3" xfId="12731" xr:uid="{31D6A937-4C54-43D3-91A4-35A1CA144484}"/>
    <cellStyle name="Currency 5 2 5 3 3" xfId="5477" xr:uid="{00000000-0005-0000-0000-0000590C0000}"/>
    <cellStyle name="Currency 5 2 5 3 3 2" xfId="14803" xr:uid="{2802CB0B-21FB-4965-B083-AE7009C20E1D}"/>
    <cellStyle name="Currency 5 2 5 3 4" xfId="10586" xr:uid="{7B301DBF-9E07-4D78-BF0C-8570BFEAB982}"/>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266523B5-6A42-42B9-9D4F-3C4AFED286B4}"/>
    <cellStyle name="Currency 5 2 5 4 2 3" xfId="13144" xr:uid="{DC0BFB8B-A45A-4A8F-8205-89B88257ECB5}"/>
    <cellStyle name="Currency 5 2 5 4 3" xfId="5890" xr:uid="{00000000-0005-0000-0000-00005D0C0000}"/>
    <cellStyle name="Currency 5 2 5 4 3 2" xfId="15216" xr:uid="{72AF55FE-74C7-4F90-9583-C32F081B9393}"/>
    <cellStyle name="Currency 5 2 5 4 4" xfId="10999" xr:uid="{C3DE8FAD-6040-43EC-B0CC-693746261AEF}"/>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2A69487C-3D0B-468D-9B0E-A496ABE64309}"/>
    <cellStyle name="Currency 5 2 5 5 2 3" xfId="13557" xr:uid="{FD73C6AB-6A3A-44AE-9A9D-E0DBBB5F4317}"/>
    <cellStyle name="Currency 5 2 5 5 3" xfId="6303" xr:uid="{00000000-0005-0000-0000-0000610C0000}"/>
    <cellStyle name="Currency 5 2 5 5 3 2" xfId="15629" xr:uid="{67051BF8-D2EB-4F8C-9270-E526C17A6E9E}"/>
    <cellStyle name="Currency 5 2 5 5 4" xfId="11412" xr:uid="{17C68A91-C324-4B97-93C7-0D25B9573ADC}"/>
    <cellStyle name="Currency 5 2 5 6" xfId="2432" xr:uid="{00000000-0005-0000-0000-0000620C0000}"/>
    <cellStyle name="Currency 5 2 5 6 2" xfId="6716" xr:uid="{00000000-0005-0000-0000-0000630C0000}"/>
    <cellStyle name="Currency 5 2 5 6 2 2" xfId="16042" xr:uid="{E027918C-2F4A-4C1D-8A9B-CCCFED5FF2FD}"/>
    <cellStyle name="Currency 5 2 5 6 3" xfId="11825" xr:uid="{84BEBD58-28DB-4887-A778-BBAE45992A7C}"/>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B39B218C-5961-4E37-8408-70654D58FB6A}"/>
    <cellStyle name="Currency 5 2 5 8 3" xfId="12142" xr:uid="{F7D9AE4F-910B-4BF4-9CF1-6632B74A825E}"/>
    <cellStyle name="Currency 5 2 5 9" xfId="4650" xr:uid="{00000000-0005-0000-0000-0000670C0000}"/>
    <cellStyle name="Currency 5 2 5 9 2" xfId="13976" xr:uid="{9140A7A6-4F86-4BB9-A988-6565F7452529}"/>
    <cellStyle name="Currency 5 2 6" xfId="208" xr:uid="{00000000-0005-0000-0000-0000680C0000}"/>
    <cellStyle name="Currency 5 2 6 10" xfId="9178" xr:uid="{19F6D70E-88E4-4E39-A1A9-3FF3D840E2F9}"/>
    <cellStyle name="Currency 5 2 6 11" xfId="9760" xr:uid="{54BA3725-7E2B-42A7-97C1-D146C634241E}"/>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C4AEDD18-C571-47DD-94C9-9172084F7209}"/>
    <cellStyle name="Currency 5 2 6 2 2 3" xfId="12319" xr:uid="{E6B3D1DF-0D56-4918-8C87-BCD4EF1B0BFD}"/>
    <cellStyle name="Currency 5 2 6 2 3" xfId="5065" xr:uid="{00000000-0005-0000-0000-00006C0C0000}"/>
    <cellStyle name="Currency 5 2 6 2 3 2" xfId="14391" xr:uid="{F5F13E30-EC89-479A-83A7-D7A52C70C9F6}"/>
    <cellStyle name="Currency 5 2 6 2 4" xfId="9599" xr:uid="{C2EE182C-D73D-4E6C-9671-0484CB4E8D68}"/>
    <cellStyle name="Currency 5 2 6 2 5" xfId="10174" xr:uid="{E3EF3734-CB7E-4B45-8328-5EC86C4EC2EE}"/>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7C595DEF-197C-41EF-8FD5-B464D4BB0F29}"/>
    <cellStyle name="Currency 5 2 6 3 2 3" xfId="12732" xr:uid="{7C042EAF-3267-40F8-9A02-1BE7FB0A2AD3}"/>
    <cellStyle name="Currency 5 2 6 3 3" xfId="5478" xr:uid="{00000000-0005-0000-0000-0000700C0000}"/>
    <cellStyle name="Currency 5 2 6 3 3 2" xfId="14804" xr:uid="{B826BDBE-94EC-46F1-B2C2-A76AAEE09076}"/>
    <cellStyle name="Currency 5 2 6 3 4" xfId="10587" xr:uid="{59A169A8-BC0C-400F-9A18-9F21B06AE840}"/>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0A7B28BC-0A87-4814-8C8D-566B97040873}"/>
    <cellStyle name="Currency 5 2 6 4 2 3" xfId="13145" xr:uid="{9B0468E8-B26D-4AB0-B987-A8647C0F79B7}"/>
    <cellStyle name="Currency 5 2 6 4 3" xfId="5891" xr:uid="{00000000-0005-0000-0000-0000740C0000}"/>
    <cellStyle name="Currency 5 2 6 4 3 2" xfId="15217" xr:uid="{C2BB6BBB-6FE3-4E99-ABDF-AA60DDB5E142}"/>
    <cellStyle name="Currency 5 2 6 4 4" xfId="11000" xr:uid="{A8DD91E5-E2C3-4AAF-8876-17B39D44E1DB}"/>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CA2AADD0-838F-4F17-8B5A-5AF0E970D7EA}"/>
    <cellStyle name="Currency 5 2 6 5 2 3" xfId="13558" xr:uid="{FCA94CC3-6202-4104-B582-1C8F81FCA193}"/>
    <cellStyle name="Currency 5 2 6 5 3" xfId="6304" xr:uid="{00000000-0005-0000-0000-0000780C0000}"/>
    <cellStyle name="Currency 5 2 6 5 3 2" xfId="15630" xr:uid="{FCA04458-F00B-4E98-B2EA-39C2FA9B2875}"/>
    <cellStyle name="Currency 5 2 6 5 4" xfId="11413" xr:uid="{38127378-133D-4E8F-BB33-65CB550C8039}"/>
    <cellStyle name="Currency 5 2 6 6" xfId="2433" xr:uid="{00000000-0005-0000-0000-0000790C0000}"/>
    <cellStyle name="Currency 5 2 6 6 2" xfId="6717" xr:uid="{00000000-0005-0000-0000-00007A0C0000}"/>
    <cellStyle name="Currency 5 2 6 6 2 2" xfId="16043" xr:uid="{112F2065-DDCD-4067-B4AC-1AAA722470A7}"/>
    <cellStyle name="Currency 5 2 6 6 3" xfId="11826" xr:uid="{5086B88B-91D8-4DCE-B49D-2F494452BF09}"/>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D70E730F-012B-42AB-BFAD-7A88B873224E}"/>
    <cellStyle name="Currency 5 2 6 8 3" xfId="12143" xr:uid="{9FCAF0BE-AB53-40D6-A9A4-795EB860EA62}"/>
    <cellStyle name="Currency 5 2 6 9" xfId="4651" xr:uid="{00000000-0005-0000-0000-00007E0C0000}"/>
    <cellStyle name="Currency 5 2 6 9 2" xfId="13977" xr:uid="{6EF0A82D-8AF7-4F84-8458-3DDBFE932F23}"/>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B5CE1D65-F6F1-4505-B0C9-D3E2BBA3D996}"/>
    <cellStyle name="Currency 5 3 2 10 3" xfId="12144" xr:uid="{8A393B80-6557-48AF-B8B7-9B8E514304F0}"/>
    <cellStyle name="Currency 5 3 2 11" xfId="4652" xr:uid="{00000000-0005-0000-0000-0000840C0000}"/>
    <cellStyle name="Currency 5 3 2 11 2" xfId="13978" xr:uid="{A8F56ACD-40D0-46C3-8BCD-4932A4010BC1}"/>
    <cellStyle name="Currency 5 3 2 12" xfId="8810" xr:uid="{C5234FF9-D509-4CD8-ADA1-D3604CCF3D1F}"/>
    <cellStyle name="Currency 5 3 2 13" xfId="9761" xr:uid="{4D7C71F3-5B0B-4E15-B8E5-D6038E9EF5B2}"/>
    <cellStyle name="Currency 5 3 2 2" xfId="211" xr:uid="{00000000-0005-0000-0000-0000850C0000}"/>
    <cellStyle name="Currency 5 3 2 2 10" xfId="4653" xr:uid="{00000000-0005-0000-0000-0000860C0000}"/>
    <cellStyle name="Currency 5 3 2 2 10 2" xfId="13979" xr:uid="{A5BBAA45-E755-4CB7-939E-D1E26EBB9C69}"/>
    <cellStyle name="Currency 5 3 2 2 11" xfId="8913" xr:uid="{FE033F82-2F16-4925-9899-F927AB9AA612}"/>
    <cellStyle name="Currency 5 3 2 2 12" xfId="9762" xr:uid="{429C6642-DA15-480E-859B-03775D3DE266}"/>
    <cellStyle name="Currency 5 3 2 2 2" xfId="212" xr:uid="{00000000-0005-0000-0000-0000870C0000}"/>
    <cellStyle name="Currency 5 3 2 2 2 10" xfId="9120" xr:uid="{D5536A1F-8418-4CB5-B1E0-470AD716374A}"/>
    <cellStyle name="Currency 5 3 2 2 2 11" xfId="9763" xr:uid="{C2388521-0033-4468-8085-EDAE9C0466C7}"/>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CD0C6D9A-FFE2-4000-B105-C223AE2607A1}"/>
    <cellStyle name="Currency 5 3 2 2 2 2 2 3" xfId="12322" xr:uid="{F41A22DD-71D5-4C06-9602-B9EDA02F3926}"/>
    <cellStyle name="Currency 5 3 2 2 2 2 3" xfId="5068" xr:uid="{00000000-0005-0000-0000-00008B0C0000}"/>
    <cellStyle name="Currency 5 3 2 2 2 2 3 2" xfId="14394" xr:uid="{561B7165-CDCD-45B1-96B9-47AF9E0C9BFE}"/>
    <cellStyle name="Currency 5 3 2 2 2 2 4" xfId="9545" xr:uid="{F6C268D6-0334-42F7-AE4F-535ADD09B625}"/>
    <cellStyle name="Currency 5 3 2 2 2 2 5" xfId="10177" xr:uid="{6A8EBCB5-719B-4EDD-B205-2A6DE9ACDFA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B95AB499-CEBD-4E76-9D30-6F82D4FFE6D6}"/>
    <cellStyle name="Currency 5 3 2 2 2 3 2 3" xfId="12735" xr:uid="{5732CAB2-C7D5-4ABE-B0A7-A65F2D78BCDF}"/>
    <cellStyle name="Currency 5 3 2 2 2 3 3" xfId="5481" xr:uid="{00000000-0005-0000-0000-00008F0C0000}"/>
    <cellStyle name="Currency 5 3 2 2 2 3 3 2" xfId="14807" xr:uid="{ADA2FAA5-8288-4D5D-B155-A83765239C99}"/>
    <cellStyle name="Currency 5 3 2 2 2 3 4" xfId="10590" xr:uid="{E6020C7F-ABEE-4B82-9516-735F3925241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739297FF-0550-4883-A787-742F8C71F0C2}"/>
    <cellStyle name="Currency 5 3 2 2 2 4 2 3" xfId="13148" xr:uid="{946BDFEC-B95F-47C4-8A69-50D23433DCC3}"/>
    <cellStyle name="Currency 5 3 2 2 2 4 3" xfId="5894" xr:uid="{00000000-0005-0000-0000-0000930C0000}"/>
    <cellStyle name="Currency 5 3 2 2 2 4 3 2" xfId="15220" xr:uid="{047FCEF9-DC33-4519-A673-468002E2F13D}"/>
    <cellStyle name="Currency 5 3 2 2 2 4 4" xfId="11003" xr:uid="{C4642D7F-3E7A-4B59-B3C0-0E37543EBA17}"/>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D64A5621-8777-44C8-A0DB-64987A185B34}"/>
    <cellStyle name="Currency 5 3 2 2 2 5 2 3" xfId="13561" xr:uid="{4AB7F59A-FB9B-4D71-97E9-06459041F95A}"/>
    <cellStyle name="Currency 5 3 2 2 2 5 3" xfId="6307" xr:uid="{00000000-0005-0000-0000-0000970C0000}"/>
    <cellStyle name="Currency 5 3 2 2 2 5 3 2" xfId="15633" xr:uid="{1A15DBCB-85A2-43FF-8D0B-ACAA70314308}"/>
    <cellStyle name="Currency 5 3 2 2 2 5 4" xfId="11416" xr:uid="{ECDD60CF-C17D-438C-9B0B-A3CE26F67394}"/>
    <cellStyle name="Currency 5 3 2 2 2 6" xfId="2436" xr:uid="{00000000-0005-0000-0000-0000980C0000}"/>
    <cellStyle name="Currency 5 3 2 2 2 6 2" xfId="6720" xr:uid="{00000000-0005-0000-0000-0000990C0000}"/>
    <cellStyle name="Currency 5 3 2 2 2 6 2 2" xfId="16046" xr:uid="{5B998FC3-EEAD-4E77-990F-311FE9915784}"/>
    <cellStyle name="Currency 5 3 2 2 2 6 3" xfId="11829" xr:uid="{01C69F9E-CCAF-4243-8A27-4D175D9F7906}"/>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B3559080-FD91-4D45-AFC0-32DF067014D0}"/>
    <cellStyle name="Currency 5 3 2 2 2 8 3" xfId="12146" xr:uid="{8D11783C-EBF1-4342-812C-B689A55B0FE9}"/>
    <cellStyle name="Currency 5 3 2 2 2 9" xfId="4654" xr:uid="{00000000-0005-0000-0000-00009D0C0000}"/>
    <cellStyle name="Currency 5 3 2 2 2 9 2" xfId="13980" xr:uid="{0561A65D-51AA-4E37-B8B7-FD22E9BA27C1}"/>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19220BE8-62F2-4B51-B26F-628CAE38B128}"/>
    <cellStyle name="Currency 5 3 2 2 3 2 3" xfId="12321" xr:uid="{C117693F-E578-4B87-AE22-32A127D6A30A}"/>
    <cellStyle name="Currency 5 3 2 2 3 3" xfId="5067" xr:uid="{00000000-0005-0000-0000-0000A10C0000}"/>
    <cellStyle name="Currency 5 3 2 2 3 3 2" xfId="14393" xr:uid="{A4E723B5-7878-481A-9980-671274F1CAD1}"/>
    <cellStyle name="Currency 5 3 2 2 3 4" xfId="9338" xr:uid="{E79296CA-9516-4DDA-84B2-A3B13AAA9D9D}"/>
    <cellStyle name="Currency 5 3 2 2 3 5" xfId="10176" xr:uid="{00356948-C64B-4B8F-B328-BC7C32C64402}"/>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4E41639D-34F2-4D3D-8C88-628BD631DA70}"/>
    <cellStyle name="Currency 5 3 2 2 4 2 3" xfId="12734" xr:uid="{87D735F0-A0B6-4E96-8FED-A37E716822E4}"/>
    <cellStyle name="Currency 5 3 2 2 4 3" xfId="5480" xr:uid="{00000000-0005-0000-0000-0000A50C0000}"/>
    <cellStyle name="Currency 5 3 2 2 4 3 2" xfId="14806" xr:uid="{D2694022-763C-45F0-8758-911D136E8FCF}"/>
    <cellStyle name="Currency 5 3 2 2 4 4" xfId="10589" xr:uid="{24BA6FCE-DF61-4198-A4FC-D0633B0413CB}"/>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1AEC858F-B553-476A-B958-0643B7ADDF38}"/>
    <cellStyle name="Currency 5 3 2 2 5 2 3" xfId="13147" xr:uid="{5B74B25C-C16F-4493-AEF0-E3E385779F1C}"/>
    <cellStyle name="Currency 5 3 2 2 5 3" xfId="5893" xr:uid="{00000000-0005-0000-0000-0000A90C0000}"/>
    <cellStyle name="Currency 5 3 2 2 5 3 2" xfId="15219" xr:uid="{C8545953-2E3C-4524-A2D3-F0AA216182AC}"/>
    <cellStyle name="Currency 5 3 2 2 5 4" xfId="11002" xr:uid="{157E6449-68A6-46E1-A68E-9B5464F4B1E6}"/>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E61059CF-1433-4FE2-B122-57FE639C2BF0}"/>
    <cellStyle name="Currency 5 3 2 2 6 2 3" xfId="13560" xr:uid="{867A2E5C-0FD4-4BF0-876C-9586BAAB9B0A}"/>
    <cellStyle name="Currency 5 3 2 2 6 3" xfId="6306" xr:uid="{00000000-0005-0000-0000-0000AD0C0000}"/>
    <cellStyle name="Currency 5 3 2 2 6 3 2" xfId="15632" xr:uid="{F7C4DEB3-CE6D-4A61-A724-46209C4DFFAB}"/>
    <cellStyle name="Currency 5 3 2 2 6 4" xfId="11415" xr:uid="{9737F2D6-68D5-48E4-91B2-776E733FD392}"/>
    <cellStyle name="Currency 5 3 2 2 7" xfId="2435" xr:uid="{00000000-0005-0000-0000-0000AE0C0000}"/>
    <cellStyle name="Currency 5 3 2 2 7 2" xfId="6719" xr:uid="{00000000-0005-0000-0000-0000AF0C0000}"/>
    <cellStyle name="Currency 5 3 2 2 7 2 2" xfId="16045" xr:uid="{BCD8325E-2F96-4DED-8A4A-D5514407426E}"/>
    <cellStyle name="Currency 5 3 2 2 7 3" xfId="11828" xr:uid="{F2259C82-E21C-4549-8BA5-B663031D9531}"/>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5570C0D1-FFA4-4389-96D3-ED5868DC537E}"/>
    <cellStyle name="Currency 5 3 2 2 9 3" xfId="12145" xr:uid="{84465FBB-0AC2-4B7E-8F87-3E01028ECABC}"/>
    <cellStyle name="Currency 5 3 2 3" xfId="213" xr:uid="{00000000-0005-0000-0000-0000B30C0000}"/>
    <cellStyle name="Currency 5 3 2 3 10" xfId="9017" xr:uid="{A6213F8D-EE09-4095-B9BE-99C55DEE210F}"/>
    <cellStyle name="Currency 5 3 2 3 11" xfId="9764" xr:uid="{37F89956-ADDD-458D-A8F4-1DC4056AF62C}"/>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D23AA5FC-4F84-4D6A-A32A-BE6A880ECB89}"/>
    <cellStyle name="Currency 5 3 2 3 2 2 3" xfId="12323" xr:uid="{4D6D133E-F068-4A98-948B-A5EE57E0A106}"/>
    <cellStyle name="Currency 5 3 2 3 2 3" xfId="5069" xr:uid="{00000000-0005-0000-0000-0000B70C0000}"/>
    <cellStyle name="Currency 5 3 2 3 2 3 2" xfId="14395" xr:uid="{CAD19AB1-55AF-4B82-B6D2-AD660AC6FF91}"/>
    <cellStyle name="Currency 5 3 2 3 2 4" xfId="9442" xr:uid="{AE48BD1F-B5DA-4007-BBEE-128FE2FE74D7}"/>
    <cellStyle name="Currency 5 3 2 3 2 5" xfId="10178" xr:uid="{7DAA8F55-6D38-4749-BDE2-0A0C62B91C93}"/>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8C52C418-5FA3-48D9-B5BE-1D8F6178FED7}"/>
    <cellStyle name="Currency 5 3 2 3 3 2 3" xfId="12736" xr:uid="{B53B493B-1493-4C2C-BDEA-5D0060B06DD1}"/>
    <cellStyle name="Currency 5 3 2 3 3 3" xfId="5482" xr:uid="{00000000-0005-0000-0000-0000BB0C0000}"/>
    <cellStyle name="Currency 5 3 2 3 3 3 2" xfId="14808" xr:uid="{11BABB56-3B53-42E7-8745-15BCDE542D3D}"/>
    <cellStyle name="Currency 5 3 2 3 3 4" xfId="10591" xr:uid="{9DD8090D-6762-492F-8891-C161CDA0E85C}"/>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EED0D746-FA5F-48D4-9209-0A92B4C26CC0}"/>
    <cellStyle name="Currency 5 3 2 3 4 2 3" xfId="13149" xr:uid="{3D27A960-7ACC-4B59-8715-6E8F64799E77}"/>
    <cellStyle name="Currency 5 3 2 3 4 3" xfId="5895" xr:uid="{00000000-0005-0000-0000-0000BF0C0000}"/>
    <cellStyle name="Currency 5 3 2 3 4 3 2" xfId="15221" xr:uid="{DE89091D-646F-41AC-B0BD-7306176790F5}"/>
    <cellStyle name="Currency 5 3 2 3 4 4" xfId="11004" xr:uid="{E1F136FC-783F-4039-8B7A-5BE9818DE79A}"/>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6556B5EB-3D11-46DB-8B76-FD63490A60FB}"/>
    <cellStyle name="Currency 5 3 2 3 5 2 3" xfId="13562" xr:uid="{00F97DB9-C294-4F4A-8420-FBAF95375189}"/>
    <cellStyle name="Currency 5 3 2 3 5 3" xfId="6308" xr:uid="{00000000-0005-0000-0000-0000C30C0000}"/>
    <cellStyle name="Currency 5 3 2 3 5 3 2" xfId="15634" xr:uid="{2443E5BF-116D-4B69-AE38-FAA779612BAD}"/>
    <cellStyle name="Currency 5 3 2 3 5 4" xfId="11417" xr:uid="{08599070-2E5F-45B2-A78C-961FA045418E}"/>
    <cellStyle name="Currency 5 3 2 3 6" xfId="2437" xr:uid="{00000000-0005-0000-0000-0000C40C0000}"/>
    <cellStyle name="Currency 5 3 2 3 6 2" xfId="6721" xr:uid="{00000000-0005-0000-0000-0000C50C0000}"/>
    <cellStyle name="Currency 5 3 2 3 6 2 2" xfId="16047" xr:uid="{0F6119B2-D918-4FA0-8DEE-07F1942042DA}"/>
    <cellStyle name="Currency 5 3 2 3 6 3" xfId="11830" xr:uid="{50DD2BB2-4CEE-46F1-B7EA-E9BBFC1509CB}"/>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739AFE44-5481-455B-ADF5-0C617C74F809}"/>
    <cellStyle name="Currency 5 3 2 3 8 3" xfId="12147" xr:uid="{105CCF7D-C529-418C-80AA-0C94B0F3321A}"/>
    <cellStyle name="Currency 5 3 2 3 9" xfId="4655" xr:uid="{00000000-0005-0000-0000-0000C90C0000}"/>
    <cellStyle name="Currency 5 3 2 3 9 2" xfId="13981" xr:uid="{3AB1DDBE-7D80-453B-A55D-08CC9C1F8280}"/>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115F112B-63A6-4E78-AC97-CD05D6F3FC86}"/>
    <cellStyle name="Currency 5 3 2 4 2 3" xfId="12320" xr:uid="{422CBD3C-544E-4C46-BF32-5DA649D6475C}"/>
    <cellStyle name="Currency 5 3 2 4 3" xfId="5066" xr:uid="{00000000-0005-0000-0000-0000CD0C0000}"/>
    <cellStyle name="Currency 5 3 2 4 3 2" xfId="14392" xr:uid="{DCAB08F5-5ACC-48F9-ADAC-B4D944C012B0}"/>
    <cellStyle name="Currency 5 3 2 4 4" xfId="9235" xr:uid="{F2FD4117-6EF1-4663-964A-AB5B57E6F469}"/>
    <cellStyle name="Currency 5 3 2 4 5" xfId="10175" xr:uid="{ED4A3AB2-3176-40A7-A36B-5A9D50810CB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41881C86-98C5-49ED-8412-B5E6A0A0CBA9}"/>
    <cellStyle name="Currency 5 3 2 5 2 3" xfId="12733" xr:uid="{EBF6B72A-FD79-496B-B19A-36DA7AED72F9}"/>
    <cellStyle name="Currency 5 3 2 5 3" xfId="5479" xr:uid="{00000000-0005-0000-0000-0000D10C0000}"/>
    <cellStyle name="Currency 5 3 2 5 3 2" xfId="14805" xr:uid="{E7C902BB-7E61-4E2F-B2B1-F070CA717281}"/>
    <cellStyle name="Currency 5 3 2 5 4" xfId="10588" xr:uid="{213B4B08-4EC8-4FAA-ADF1-D6DFCA720773}"/>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6A051BF6-CD48-46F3-836E-A2B6FD5BE3EA}"/>
    <cellStyle name="Currency 5 3 2 6 2 3" xfId="13146" xr:uid="{51719BA8-C912-4833-A309-B95452C7DAD9}"/>
    <cellStyle name="Currency 5 3 2 6 3" xfId="5892" xr:uid="{00000000-0005-0000-0000-0000D50C0000}"/>
    <cellStyle name="Currency 5 3 2 6 3 2" xfId="15218" xr:uid="{4734E595-9A55-4CBA-AE8F-8D296998F7F5}"/>
    <cellStyle name="Currency 5 3 2 6 4" xfId="11001" xr:uid="{6FB61F02-A492-43A6-8503-4266EBE734E8}"/>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8955CC28-4D4B-47CE-9194-8FEE9CFE7A62}"/>
    <cellStyle name="Currency 5 3 2 7 2 3" xfId="13559" xr:uid="{ABBF6C48-82F2-470F-BE6C-28439F423AD4}"/>
    <cellStyle name="Currency 5 3 2 7 3" xfId="6305" xr:uid="{00000000-0005-0000-0000-0000D90C0000}"/>
    <cellStyle name="Currency 5 3 2 7 3 2" xfId="15631" xr:uid="{B5905A90-75AB-4189-9DE4-22BB7D9E6C38}"/>
    <cellStyle name="Currency 5 3 2 7 4" xfId="11414" xr:uid="{E73EA6EE-553D-4EEE-B9AE-B8128FCA0C70}"/>
    <cellStyle name="Currency 5 3 2 8" xfId="2434" xr:uid="{00000000-0005-0000-0000-0000DA0C0000}"/>
    <cellStyle name="Currency 5 3 2 8 2" xfId="6718" xr:uid="{00000000-0005-0000-0000-0000DB0C0000}"/>
    <cellStyle name="Currency 5 3 2 8 2 2" xfId="16044" xr:uid="{F650B606-913A-4485-BBB8-B3CE44C1FA96}"/>
    <cellStyle name="Currency 5 3 2 8 3" xfId="11827" xr:uid="{83C5B7F4-ABF0-412A-9A76-39C1C8868B1B}"/>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A7D1CBE5-500D-4DAB-866F-361A638038E5}"/>
    <cellStyle name="Currency 5 3 3 11" xfId="8882" xr:uid="{A86B3ED4-B552-42F3-9E77-C6763F86EEE6}"/>
    <cellStyle name="Currency 5 3 3 12" xfId="9765" xr:uid="{D7BF50B5-6277-4CF4-96EB-EBD86B0BA4BA}"/>
    <cellStyle name="Currency 5 3 3 2" xfId="215" xr:uid="{00000000-0005-0000-0000-0000DF0C0000}"/>
    <cellStyle name="Currency 5 3 3 2 10" xfId="9089" xr:uid="{7CFB8DCC-02AE-4CC5-8E10-3D33399ECECE}"/>
    <cellStyle name="Currency 5 3 3 2 11" xfId="9766" xr:uid="{C3DD2D81-2B5A-49D1-8F8C-8C8B2E036025}"/>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E783BF4A-27A6-4608-BC32-D444C319D3F0}"/>
    <cellStyle name="Currency 5 3 3 2 2 2 3" xfId="12325" xr:uid="{85F026E0-0768-4739-8060-D887CAFF812C}"/>
    <cellStyle name="Currency 5 3 3 2 2 3" xfId="5071" xr:uid="{00000000-0005-0000-0000-0000E30C0000}"/>
    <cellStyle name="Currency 5 3 3 2 2 3 2" xfId="14397" xr:uid="{7F655ECE-431D-44E7-953E-DA08546C56C7}"/>
    <cellStyle name="Currency 5 3 3 2 2 4" xfId="9514" xr:uid="{9A504F43-6423-4200-B7AF-F17B65B2005C}"/>
    <cellStyle name="Currency 5 3 3 2 2 5" xfId="10180" xr:uid="{470B9EDC-F16B-439C-9928-24020AE8D4B5}"/>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04A3851C-7D12-47FD-AFAD-67CFF6B4C20E}"/>
    <cellStyle name="Currency 5 3 3 2 3 2 3" xfId="12738" xr:uid="{B227B0C3-7CFF-4825-B0CD-37A4CC162DB7}"/>
    <cellStyle name="Currency 5 3 3 2 3 3" xfId="5484" xr:uid="{00000000-0005-0000-0000-0000E70C0000}"/>
    <cellStyle name="Currency 5 3 3 2 3 3 2" xfId="14810" xr:uid="{2DBA948B-6E1C-48DD-93EB-097F0782A347}"/>
    <cellStyle name="Currency 5 3 3 2 3 4" xfId="10593" xr:uid="{A49E81CD-C362-4B6E-8D2F-055235B78D08}"/>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9B12C61B-3FAA-4A49-B5C5-82AB2CD76CBB}"/>
    <cellStyle name="Currency 5 3 3 2 4 2 3" xfId="13151" xr:uid="{C3A4F7E4-AEE0-4D2B-A02F-766C9C5B6922}"/>
    <cellStyle name="Currency 5 3 3 2 4 3" xfId="5897" xr:uid="{00000000-0005-0000-0000-0000EB0C0000}"/>
    <cellStyle name="Currency 5 3 3 2 4 3 2" xfId="15223" xr:uid="{E4247D1F-853F-4FD5-A236-3FBBE4B55E55}"/>
    <cellStyle name="Currency 5 3 3 2 4 4" xfId="11006" xr:uid="{07EAA54F-3431-4262-A012-3B1F6AF0BF12}"/>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01707838-EC23-486B-89BA-3527589EB978}"/>
    <cellStyle name="Currency 5 3 3 2 5 2 3" xfId="13564" xr:uid="{9804D5C7-54E6-40E5-BF4A-D319632BD687}"/>
    <cellStyle name="Currency 5 3 3 2 5 3" xfId="6310" xr:uid="{00000000-0005-0000-0000-0000EF0C0000}"/>
    <cellStyle name="Currency 5 3 3 2 5 3 2" xfId="15636" xr:uid="{560B1376-396B-4D78-A104-8FA57C22F775}"/>
    <cellStyle name="Currency 5 3 3 2 5 4" xfId="11419" xr:uid="{67E6B370-D864-4F6F-AF3E-C7EBC73566ED}"/>
    <cellStyle name="Currency 5 3 3 2 6" xfId="2439" xr:uid="{00000000-0005-0000-0000-0000F00C0000}"/>
    <cellStyle name="Currency 5 3 3 2 6 2" xfId="6723" xr:uid="{00000000-0005-0000-0000-0000F10C0000}"/>
    <cellStyle name="Currency 5 3 3 2 6 2 2" xfId="16049" xr:uid="{6FE45287-F616-4AF4-8368-3F0A7CD42F97}"/>
    <cellStyle name="Currency 5 3 3 2 6 3" xfId="11832" xr:uid="{2664E3B0-72FD-4461-92E2-7349613B541E}"/>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FC0E3A63-8F50-47FD-B65C-DC518ADE600B}"/>
    <cellStyle name="Currency 5 3 3 2 8 3" xfId="12149" xr:uid="{347E2FFF-F6AB-4776-9300-CF02AC976336}"/>
    <cellStyle name="Currency 5 3 3 2 9" xfId="4657" xr:uid="{00000000-0005-0000-0000-0000F50C0000}"/>
    <cellStyle name="Currency 5 3 3 2 9 2" xfId="13983" xr:uid="{556AC9F4-1E01-45E8-9459-955E73ED3972}"/>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F01B336B-F8DB-4B4A-A27A-6F5099267F02}"/>
    <cellStyle name="Currency 5 3 3 3 2 3" xfId="12324" xr:uid="{6E98FB3C-0D88-4585-8968-26443A6856C5}"/>
    <cellStyle name="Currency 5 3 3 3 3" xfId="5070" xr:uid="{00000000-0005-0000-0000-0000F90C0000}"/>
    <cellStyle name="Currency 5 3 3 3 3 2" xfId="14396" xr:uid="{3F84B52F-E5AA-40A3-AFA7-49D0CBB08425}"/>
    <cellStyle name="Currency 5 3 3 3 4" xfId="9307" xr:uid="{3F0512A0-B779-46E4-A963-62E327C6AC5F}"/>
    <cellStyle name="Currency 5 3 3 3 5" xfId="10179" xr:uid="{47E666D2-7240-4D3B-800C-B54B52C4FE58}"/>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9B49FF96-ED75-4D77-B3DE-C8F0632C2CC9}"/>
    <cellStyle name="Currency 5 3 3 4 2 3" xfId="12737" xr:uid="{7F28E182-237A-4A7D-B96A-0B543E484BC9}"/>
    <cellStyle name="Currency 5 3 3 4 3" xfId="5483" xr:uid="{00000000-0005-0000-0000-0000FD0C0000}"/>
    <cellStyle name="Currency 5 3 3 4 3 2" xfId="14809" xr:uid="{F3F06CE1-F328-47C9-9443-A64DE60DA8C8}"/>
    <cellStyle name="Currency 5 3 3 4 4" xfId="10592" xr:uid="{2EF607FA-C98E-4356-94E9-A6FC687C4E0B}"/>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67F33897-9E70-439F-87E7-555B67D7D66C}"/>
    <cellStyle name="Currency 5 3 3 5 2 3" xfId="13150" xr:uid="{938DFC9C-5182-4015-B440-ABB3B25DEB92}"/>
    <cellStyle name="Currency 5 3 3 5 3" xfId="5896" xr:uid="{00000000-0005-0000-0000-0000010D0000}"/>
    <cellStyle name="Currency 5 3 3 5 3 2" xfId="15222" xr:uid="{5EEACC51-2BCB-4E38-B41A-4AB679BD93B4}"/>
    <cellStyle name="Currency 5 3 3 5 4" xfId="11005" xr:uid="{70F87111-5CAA-4532-B886-7B6B10B9EF8E}"/>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B1F5B9C9-5DE3-411D-B302-B3D67E5ABECE}"/>
    <cellStyle name="Currency 5 3 3 6 2 3" xfId="13563" xr:uid="{95DDD7CF-7DD7-40DD-8DB6-0C9D5355B473}"/>
    <cellStyle name="Currency 5 3 3 6 3" xfId="6309" xr:uid="{00000000-0005-0000-0000-0000050D0000}"/>
    <cellStyle name="Currency 5 3 3 6 3 2" xfId="15635" xr:uid="{14164BC5-60E2-47FA-BE17-4424D6D4E791}"/>
    <cellStyle name="Currency 5 3 3 6 4" xfId="11418" xr:uid="{4B7103AC-3806-4511-90ED-445D2AF0A42A}"/>
    <cellStyle name="Currency 5 3 3 7" xfId="2438" xr:uid="{00000000-0005-0000-0000-0000060D0000}"/>
    <cellStyle name="Currency 5 3 3 7 2" xfId="6722" xr:uid="{00000000-0005-0000-0000-0000070D0000}"/>
    <cellStyle name="Currency 5 3 3 7 2 2" xfId="16048" xr:uid="{AE647494-9E96-4601-8D03-BDFC0DAF020D}"/>
    <cellStyle name="Currency 5 3 3 7 3" xfId="11831" xr:uid="{D052AA74-01A7-4135-A6F3-9B86543D2B1B}"/>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5CE46E8E-6B4C-44ED-B959-C53BFBA64692}"/>
    <cellStyle name="Currency 5 3 3 9 3" xfId="12148" xr:uid="{4874BEEA-6641-4017-B9D6-4A955A337BE4}"/>
    <cellStyle name="Currency 5 3 4" xfId="216" xr:uid="{00000000-0005-0000-0000-00000B0D0000}"/>
    <cellStyle name="Currency 5 3 4 10" xfId="8986" xr:uid="{4F6CFA4A-F10A-4043-AD92-C0A3F7F06459}"/>
    <cellStyle name="Currency 5 3 4 11" xfId="9767" xr:uid="{904F07EB-B239-41AD-B89F-ED7A2AF39DA6}"/>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5698FB4A-8EF4-4C8A-AC37-197B5E9066FD}"/>
    <cellStyle name="Currency 5 3 4 2 2 3" xfId="12326" xr:uid="{B1171E54-33A9-4748-95C6-FBA2939FEED8}"/>
    <cellStyle name="Currency 5 3 4 2 3" xfId="5072" xr:uid="{00000000-0005-0000-0000-00000F0D0000}"/>
    <cellStyle name="Currency 5 3 4 2 3 2" xfId="14398" xr:uid="{6D6685E8-474F-4C7E-9E9E-5F4FAA81D4B2}"/>
    <cellStyle name="Currency 5 3 4 2 4" xfId="9411" xr:uid="{2729DEB6-408B-463E-B468-91D932C31FD7}"/>
    <cellStyle name="Currency 5 3 4 2 5" xfId="10181" xr:uid="{4A472DA5-46C9-4BD6-9A7E-C107329D90C6}"/>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CABAD62B-772D-4C63-828A-6EAA646A491E}"/>
    <cellStyle name="Currency 5 3 4 3 2 3" xfId="12739" xr:uid="{D358486A-8D8E-4BB0-893E-91A504235BD6}"/>
    <cellStyle name="Currency 5 3 4 3 3" xfId="5485" xr:uid="{00000000-0005-0000-0000-0000130D0000}"/>
    <cellStyle name="Currency 5 3 4 3 3 2" xfId="14811" xr:uid="{4FA34953-FC03-448C-B22D-5BF7550978A2}"/>
    <cellStyle name="Currency 5 3 4 3 4" xfId="10594" xr:uid="{2BF0E722-810E-400F-8F88-E3221858F045}"/>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7CAB6FD6-8008-45E5-93B2-C7DA972FC767}"/>
    <cellStyle name="Currency 5 3 4 4 2 3" xfId="13152" xr:uid="{F31F3E49-34FF-4B35-A786-17E2658F4F7E}"/>
    <cellStyle name="Currency 5 3 4 4 3" xfId="5898" xr:uid="{00000000-0005-0000-0000-0000170D0000}"/>
    <cellStyle name="Currency 5 3 4 4 3 2" xfId="15224" xr:uid="{A0918342-2AC5-4A82-AAEC-9C7711E6D35D}"/>
    <cellStyle name="Currency 5 3 4 4 4" xfId="11007" xr:uid="{998008BC-47CE-4D20-83C1-02C93427D702}"/>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23AEA11A-18AE-4E89-B2B1-2CEA18119323}"/>
    <cellStyle name="Currency 5 3 4 5 2 3" xfId="13565" xr:uid="{0183495D-0160-42BD-90D7-0959A97CC5A2}"/>
    <cellStyle name="Currency 5 3 4 5 3" xfId="6311" xr:uid="{00000000-0005-0000-0000-00001B0D0000}"/>
    <cellStyle name="Currency 5 3 4 5 3 2" xfId="15637" xr:uid="{B2EEE1C5-2CAD-48BD-9F7A-84E4F3A2BB72}"/>
    <cellStyle name="Currency 5 3 4 5 4" xfId="11420" xr:uid="{1D18761F-1E65-46EE-8B77-CFE1639639F7}"/>
    <cellStyle name="Currency 5 3 4 6" xfId="2440" xr:uid="{00000000-0005-0000-0000-00001C0D0000}"/>
    <cellStyle name="Currency 5 3 4 6 2" xfId="6724" xr:uid="{00000000-0005-0000-0000-00001D0D0000}"/>
    <cellStyle name="Currency 5 3 4 6 2 2" xfId="16050" xr:uid="{9E371D0D-4498-4FDF-B320-04173DC3BA57}"/>
    <cellStyle name="Currency 5 3 4 6 3" xfId="11833" xr:uid="{6468661F-75A3-46C3-9742-D0053E30B3B9}"/>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AE46F920-AC4E-4111-96ED-7AC00D63F6E2}"/>
    <cellStyle name="Currency 5 3 4 8 3" xfId="12150" xr:uid="{F1FC0AC6-4F5B-40B3-BDDA-655B38B5CF22}"/>
    <cellStyle name="Currency 5 3 4 9" xfId="4658" xr:uid="{00000000-0005-0000-0000-0000210D0000}"/>
    <cellStyle name="Currency 5 3 4 9 2" xfId="13984" xr:uid="{0A863B81-B81E-4803-A2DB-889975AF76EC}"/>
    <cellStyle name="Currency 5 3 5" xfId="217" xr:uid="{00000000-0005-0000-0000-0000220D0000}"/>
    <cellStyle name="Currency 5 3 5 10" xfId="9203" xr:uid="{6167CBBD-227C-4457-B6B6-18EF5C089771}"/>
    <cellStyle name="Currency 5 3 5 11" xfId="9768" xr:uid="{95D38B37-9AAC-43EB-97C8-8AE4EC15483F}"/>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AE4F924B-D543-43FE-8DBE-6434B995CDC8}"/>
    <cellStyle name="Currency 5 3 5 2 2 3" xfId="12327" xr:uid="{6284B5E2-91DD-4573-A35C-D51E8A6C35B0}"/>
    <cellStyle name="Currency 5 3 5 2 3" xfId="5073" xr:uid="{00000000-0005-0000-0000-0000260D0000}"/>
    <cellStyle name="Currency 5 3 5 2 3 2" xfId="14399" xr:uid="{284A0D29-53F9-46C9-83C7-B591BC1802F3}"/>
    <cellStyle name="Currency 5 3 5 2 4" xfId="9600" xr:uid="{650A4058-48FE-4F3E-8845-8F52DF332026}"/>
    <cellStyle name="Currency 5 3 5 2 5" xfId="10182" xr:uid="{5F1D5F6E-C7C9-443C-A45C-DC4EDD22810B}"/>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396BA0E8-B041-4A3D-9C1D-3431658CAE33}"/>
    <cellStyle name="Currency 5 3 5 3 2 3" xfId="12740" xr:uid="{D64D5E0C-6E3B-42ED-A877-F9DC79125572}"/>
    <cellStyle name="Currency 5 3 5 3 3" xfId="5486" xr:uid="{00000000-0005-0000-0000-00002A0D0000}"/>
    <cellStyle name="Currency 5 3 5 3 3 2" xfId="14812" xr:uid="{592EF9A7-0A5B-476D-9D33-D0B4A2B4FA18}"/>
    <cellStyle name="Currency 5 3 5 3 4" xfId="10595" xr:uid="{B8B00F21-03AE-436D-9B37-BEF6E011F370}"/>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B4E50290-BC3E-457B-85D1-98DD6B6F04BA}"/>
    <cellStyle name="Currency 5 3 5 4 2 3" xfId="13153" xr:uid="{E9D67980-FF81-45D4-B11D-3C139AC16648}"/>
    <cellStyle name="Currency 5 3 5 4 3" xfId="5899" xr:uid="{00000000-0005-0000-0000-00002E0D0000}"/>
    <cellStyle name="Currency 5 3 5 4 3 2" xfId="15225" xr:uid="{CE1F2894-512B-4C36-8D71-85BF721D2102}"/>
    <cellStyle name="Currency 5 3 5 4 4" xfId="11008" xr:uid="{0C2D49DE-67E1-45B2-8F23-9A0F841B73A2}"/>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82466245-B912-4DFC-B1C0-235CFE1621E7}"/>
    <cellStyle name="Currency 5 3 5 5 2 3" xfId="13566" xr:uid="{65C999F6-A881-4EF7-8584-07E840B035A4}"/>
    <cellStyle name="Currency 5 3 5 5 3" xfId="6312" xr:uid="{00000000-0005-0000-0000-0000320D0000}"/>
    <cellStyle name="Currency 5 3 5 5 3 2" xfId="15638" xr:uid="{02A6230D-67C6-421E-9608-E1AB9342F069}"/>
    <cellStyle name="Currency 5 3 5 5 4" xfId="11421" xr:uid="{C7A3C305-755D-467C-931E-8B47795B4CD9}"/>
    <cellStyle name="Currency 5 3 5 6" xfId="2441" xr:uid="{00000000-0005-0000-0000-0000330D0000}"/>
    <cellStyle name="Currency 5 3 5 6 2" xfId="6725" xr:uid="{00000000-0005-0000-0000-0000340D0000}"/>
    <cellStyle name="Currency 5 3 5 6 2 2" xfId="16051" xr:uid="{5726FCA6-89C4-4B73-8B1D-15A745FDCC71}"/>
    <cellStyle name="Currency 5 3 5 6 3" xfId="11834" xr:uid="{5CE02E36-88E3-45AA-B6A6-FDBE08198E3A}"/>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35CE42FE-402E-4588-A750-4C966E6EB128}"/>
    <cellStyle name="Currency 5 3 5 8 3" xfId="12151" xr:uid="{B10001E0-678B-4057-B140-B7581124CED5}"/>
    <cellStyle name="Currency 5 3 5 9" xfId="4659" xr:uid="{00000000-0005-0000-0000-0000380D0000}"/>
    <cellStyle name="Currency 5 3 5 9 2" xfId="13985" xr:uid="{EF49FFFA-342C-40F3-A89B-1FE9F7FD5FA6}"/>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C5A8E5B3-C1AF-48D4-BDAD-D9B149751D2A}"/>
    <cellStyle name="Currency 5 5 11" xfId="8850" xr:uid="{8F129173-F323-478F-8B06-1E2599EB26C1}"/>
    <cellStyle name="Currency 5 5 12" xfId="9769" xr:uid="{AB726ABC-A2E9-438C-BE8F-8DDB0048E51B}"/>
    <cellStyle name="Currency 5 5 2" xfId="220" xr:uid="{00000000-0005-0000-0000-00003D0D0000}"/>
    <cellStyle name="Currency 5 5 2 10" xfId="9057" xr:uid="{90E61E49-0971-4EC1-90D8-E015846E4FB2}"/>
    <cellStyle name="Currency 5 5 2 11" xfId="9770" xr:uid="{91971945-3CFB-427E-91D9-B57BAE6F7AA4}"/>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107297A9-0918-4C18-BB2D-77903D7C6A3C}"/>
    <cellStyle name="Currency 5 5 2 2 2 3" xfId="12329" xr:uid="{D3F41D37-8CBB-4036-8F9C-7B40D68BA729}"/>
    <cellStyle name="Currency 5 5 2 2 3" xfId="5075" xr:uid="{00000000-0005-0000-0000-0000410D0000}"/>
    <cellStyle name="Currency 5 5 2 2 3 2" xfId="14401" xr:uid="{8C304CF1-B08C-49C8-A29F-6DB328EC0895}"/>
    <cellStyle name="Currency 5 5 2 2 4" xfId="9482" xr:uid="{ECEE3E7C-42CD-4A2D-A90F-D54FFBA7E41F}"/>
    <cellStyle name="Currency 5 5 2 2 5" xfId="10184" xr:uid="{42EAC4C9-5D83-4DF4-AE06-5EDB97A21BA6}"/>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E7F5B012-8A81-4EBA-9D75-BB9215FD30E8}"/>
    <cellStyle name="Currency 5 5 2 3 2 3" xfId="12742" xr:uid="{00E6A93F-84E2-4869-94CF-6283E507C558}"/>
    <cellStyle name="Currency 5 5 2 3 3" xfId="5488" xr:uid="{00000000-0005-0000-0000-0000450D0000}"/>
    <cellStyle name="Currency 5 5 2 3 3 2" xfId="14814" xr:uid="{56E5D3C6-C52F-430D-924D-77472B807DE1}"/>
    <cellStyle name="Currency 5 5 2 3 4" xfId="10597" xr:uid="{FD9290E4-7BCB-4415-A538-95D058D5DE14}"/>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CFA64327-F31E-4E8B-9E0F-53139BD80F5D}"/>
    <cellStyle name="Currency 5 5 2 4 2 3" xfId="13155" xr:uid="{45F1D288-93B0-4C96-8CD6-E79D42FB7DC1}"/>
    <cellStyle name="Currency 5 5 2 4 3" xfId="5901" xr:uid="{00000000-0005-0000-0000-0000490D0000}"/>
    <cellStyle name="Currency 5 5 2 4 3 2" xfId="15227" xr:uid="{8AC48E17-7DAD-4CCE-9522-F9334A77CA82}"/>
    <cellStyle name="Currency 5 5 2 4 4" xfId="11010" xr:uid="{7AE032CC-79AB-4488-A0FD-8FC3D14B0E96}"/>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B8A3F9BE-FFDA-4438-8C90-429087E75F81}"/>
    <cellStyle name="Currency 5 5 2 5 2 3" xfId="13568" xr:uid="{8856817F-13A7-4E9E-8D1D-4DF0C1FBA648}"/>
    <cellStyle name="Currency 5 5 2 5 3" xfId="6314" xr:uid="{00000000-0005-0000-0000-00004D0D0000}"/>
    <cellStyle name="Currency 5 5 2 5 3 2" xfId="15640" xr:uid="{08766006-9434-496C-B824-F45AD85A3989}"/>
    <cellStyle name="Currency 5 5 2 5 4" xfId="11423" xr:uid="{CA3A4802-FD1B-4F20-BA22-47BB09B5DBCB}"/>
    <cellStyle name="Currency 5 5 2 6" xfId="2443" xr:uid="{00000000-0005-0000-0000-00004E0D0000}"/>
    <cellStyle name="Currency 5 5 2 6 2" xfId="6727" xr:uid="{00000000-0005-0000-0000-00004F0D0000}"/>
    <cellStyle name="Currency 5 5 2 6 2 2" xfId="16053" xr:uid="{549E5A68-9FB7-438B-8DAE-D18E17B2A7A0}"/>
    <cellStyle name="Currency 5 5 2 6 3" xfId="11836" xr:uid="{4EE17682-E7F0-4C7F-8772-50DF0BDA85B3}"/>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B020E86F-F996-491D-988D-C532DA26C9DD}"/>
    <cellStyle name="Currency 5 5 2 8 3" xfId="12153" xr:uid="{D5E19925-67AA-43E8-955C-A4807CEE5C4B}"/>
    <cellStyle name="Currency 5 5 2 9" xfId="4661" xr:uid="{00000000-0005-0000-0000-0000530D0000}"/>
    <cellStyle name="Currency 5 5 2 9 2" xfId="13987" xr:uid="{2D2718B2-4C52-4D9E-91A0-68EAD186DE3A}"/>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DAF1344E-E6E9-4D0E-B8FC-7F05D73DD935}"/>
    <cellStyle name="Currency 5 5 3 2 3" xfId="12328" xr:uid="{41DDC0D1-3332-4E84-A72D-A966A16E1CD1}"/>
    <cellStyle name="Currency 5 5 3 3" xfId="5074" xr:uid="{00000000-0005-0000-0000-0000570D0000}"/>
    <cellStyle name="Currency 5 5 3 3 2" xfId="14400" xr:uid="{0BFB0139-A34B-42B7-8574-DCC5B7940E9C}"/>
    <cellStyle name="Currency 5 5 3 4" xfId="9275" xr:uid="{54783F20-34E5-4A58-80AE-EC7CC69A89C9}"/>
    <cellStyle name="Currency 5 5 3 5" xfId="10183" xr:uid="{B93FE06E-6FD9-41AA-9DE7-CB676087A6B1}"/>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13A8C2F5-A32C-4F77-B07C-F58B28A4093E}"/>
    <cellStyle name="Currency 5 5 4 2 3" xfId="12741" xr:uid="{0D30A369-2430-47E4-95CA-FBB1FBB2F6A8}"/>
    <cellStyle name="Currency 5 5 4 3" xfId="5487" xr:uid="{00000000-0005-0000-0000-00005B0D0000}"/>
    <cellStyle name="Currency 5 5 4 3 2" xfId="14813" xr:uid="{C1CFA359-C553-448B-B990-7AAD5E0E2B04}"/>
    <cellStyle name="Currency 5 5 4 4" xfId="10596" xr:uid="{F9E13BE1-A2B9-456E-8DB9-CAA7CA34C1B4}"/>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868D505E-C5B4-4D89-940F-FB381219DACC}"/>
    <cellStyle name="Currency 5 5 5 2 3" xfId="13154" xr:uid="{85D07EC4-A140-40D4-A495-608D7AEBFBED}"/>
    <cellStyle name="Currency 5 5 5 3" xfId="5900" xr:uid="{00000000-0005-0000-0000-00005F0D0000}"/>
    <cellStyle name="Currency 5 5 5 3 2" xfId="15226" xr:uid="{67308698-78A4-409D-87A7-EAEBDADF0AAA}"/>
    <cellStyle name="Currency 5 5 5 4" xfId="11009" xr:uid="{75CDF8B8-3C8C-4499-A7E1-F32FB19DCBE8}"/>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7A6FE75C-BB37-4B30-A4EC-816E539F07D9}"/>
    <cellStyle name="Currency 5 5 6 2 3" xfId="13567" xr:uid="{87576611-8EBE-4612-AE50-C991A7E8FF14}"/>
    <cellStyle name="Currency 5 5 6 3" xfId="6313" xr:uid="{00000000-0005-0000-0000-0000630D0000}"/>
    <cellStyle name="Currency 5 5 6 3 2" xfId="15639" xr:uid="{3099F48D-3075-4243-8F00-1B9FE52FFAB2}"/>
    <cellStyle name="Currency 5 5 6 4" xfId="11422" xr:uid="{66738B34-E33F-447B-9EA8-74B5231B6C93}"/>
    <cellStyle name="Currency 5 5 7" xfId="2442" xr:uid="{00000000-0005-0000-0000-0000640D0000}"/>
    <cellStyle name="Currency 5 5 7 2" xfId="6726" xr:uid="{00000000-0005-0000-0000-0000650D0000}"/>
    <cellStyle name="Currency 5 5 7 2 2" xfId="16052" xr:uid="{ACAA869B-2728-4B78-8CFC-9EFFE726A142}"/>
    <cellStyle name="Currency 5 5 7 3" xfId="11835" xr:uid="{E30E6F9E-D914-442B-9A4B-FD5772D363CC}"/>
    <cellStyle name="Currency 5 5 8" xfId="2739" xr:uid="{00000000-0005-0000-0000-0000660D0000}"/>
    <cellStyle name="Currency 5 5 9" xfId="2820" xr:uid="{00000000-0005-0000-0000-0000670D0000}"/>
    <cellStyle name="Currency 5 5 9 2" xfId="7043" xr:uid="{00000000-0005-0000-0000-0000680D0000}"/>
    <cellStyle name="Currency 5 5 9 2 2" xfId="16369" xr:uid="{2534685A-DAFB-40E2-B567-34D126933D42}"/>
    <cellStyle name="Currency 5 5 9 3" xfId="12152" xr:uid="{19298D03-B7D9-44AD-9717-AAD0E7528315}"/>
    <cellStyle name="Currency 5 6" xfId="221" xr:uid="{00000000-0005-0000-0000-0000690D0000}"/>
    <cellStyle name="Currency 5 6 10" xfId="8966" xr:uid="{EC95BD1E-EAA8-4043-BDA7-06F3BBDBC3D5}"/>
    <cellStyle name="Currency 5 6 11" xfId="9771" xr:uid="{AEDD48AC-4493-49CC-A00C-8517ED7A343B}"/>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0EB70F12-FEDE-4CF3-95B5-6E47A232EA55}"/>
    <cellStyle name="Currency 5 6 2 2 3" xfId="12330" xr:uid="{95E45650-B7B8-46E6-9D81-67BB2766E801}"/>
    <cellStyle name="Currency 5 6 2 3" xfId="5076" xr:uid="{00000000-0005-0000-0000-00006D0D0000}"/>
    <cellStyle name="Currency 5 6 2 3 2" xfId="14402" xr:uid="{54FAE554-1EFE-4C28-B8A3-51BF356B079C}"/>
    <cellStyle name="Currency 5 6 2 4" xfId="9391" xr:uid="{8CBF3F74-51EC-4402-B96A-0759E6537FC7}"/>
    <cellStyle name="Currency 5 6 2 5" xfId="10185" xr:uid="{33306393-5237-4AC5-8BD2-89DAA6F9ABC4}"/>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5F9DC16A-C41D-41B8-90BC-2C128BA4B405}"/>
    <cellStyle name="Currency 5 6 3 2 3" xfId="12743" xr:uid="{F45B550D-E072-4EC7-896F-63654D865C36}"/>
    <cellStyle name="Currency 5 6 3 3" xfId="5489" xr:uid="{00000000-0005-0000-0000-0000710D0000}"/>
    <cellStyle name="Currency 5 6 3 3 2" xfId="14815" xr:uid="{4B411ECD-99F8-4BAA-9550-C0720721C91C}"/>
    <cellStyle name="Currency 5 6 3 4" xfId="10598" xr:uid="{4497678C-59F9-468F-A02A-42739C237DCC}"/>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15559BF7-A472-4466-AAA0-6CD6DC1DF220}"/>
    <cellStyle name="Currency 5 6 4 2 3" xfId="13156" xr:uid="{B024867E-6CC8-47B0-BBD1-655DEE88B13B}"/>
    <cellStyle name="Currency 5 6 4 3" xfId="5902" xr:uid="{00000000-0005-0000-0000-0000750D0000}"/>
    <cellStyle name="Currency 5 6 4 3 2" xfId="15228" xr:uid="{AF2734EB-D8C2-4EA2-9073-2362B291CC0A}"/>
    <cellStyle name="Currency 5 6 4 4" xfId="11011" xr:uid="{E7443CAD-9F99-432E-8974-724B5FD16452}"/>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17F74306-6337-4F14-8C1C-DA516CE1C30A}"/>
    <cellStyle name="Currency 5 6 5 2 3" xfId="13569" xr:uid="{12B629BF-DCF2-49DA-9D2E-89B6D30C34B4}"/>
    <cellStyle name="Currency 5 6 5 3" xfId="6315" xr:uid="{00000000-0005-0000-0000-0000790D0000}"/>
    <cellStyle name="Currency 5 6 5 3 2" xfId="15641" xr:uid="{0E4100B5-E9EB-4D53-A52A-076517046455}"/>
    <cellStyle name="Currency 5 6 5 4" xfId="11424" xr:uid="{02D92E0D-1975-467E-9F64-3E70E9A4F39A}"/>
    <cellStyle name="Currency 5 6 6" xfId="2444" xr:uid="{00000000-0005-0000-0000-00007A0D0000}"/>
    <cellStyle name="Currency 5 6 6 2" xfId="6728" xr:uid="{00000000-0005-0000-0000-00007B0D0000}"/>
    <cellStyle name="Currency 5 6 6 2 2" xfId="16054" xr:uid="{28543BB6-21F7-45E5-9F39-6A0E8A172D01}"/>
    <cellStyle name="Currency 5 6 6 3" xfId="11837" xr:uid="{17AC9033-ACE4-44EF-9119-7AA5CC54DBF3}"/>
    <cellStyle name="Currency 5 6 7" xfId="2741" xr:uid="{00000000-0005-0000-0000-00007C0D0000}"/>
    <cellStyle name="Currency 5 6 8" xfId="2822" xr:uid="{00000000-0005-0000-0000-00007D0D0000}"/>
    <cellStyle name="Currency 5 6 8 2" xfId="7045" xr:uid="{00000000-0005-0000-0000-00007E0D0000}"/>
    <cellStyle name="Currency 5 6 8 2 2" xfId="16371" xr:uid="{E9BD0ADA-3E43-4128-B957-B974A8734526}"/>
    <cellStyle name="Currency 5 6 8 3" xfId="12154" xr:uid="{AFCE208C-61E0-45D2-BE9E-8DAEF158F63D}"/>
    <cellStyle name="Currency 5 6 9" xfId="4662" xr:uid="{00000000-0005-0000-0000-00007F0D0000}"/>
    <cellStyle name="Currency 5 6 9 2" xfId="13988" xr:uid="{35DB5AD6-C88C-4A3A-87B1-412893CAF844}"/>
    <cellStyle name="Currency 5 7" xfId="222" xr:uid="{00000000-0005-0000-0000-0000800D0000}"/>
    <cellStyle name="Currency 5 7 10" xfId="9169" xr:uid="{7A886DE7-136A-429E-90E2-A7C712D111D8}"/>
    <cellStyle name="Currency 5 7 11" xfId="9772" xr:uid="{8B72ADEE-6F01-4A73-BCC3-C169C0A633B5}"/>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D4A30576-2A16-4EF5-9368-294DB7F770AA}"/>
    <cellStyle name="Currency 5 7 2 2 3" xfId="12331" xr:uid="{C91FB94A-E159-4EF4-9425-1159508D3D1E}"/>
    <cellStyle name="Currency 5 7 2 3" xfId="5077" xr:uid="{00000000-0005-0000-0000-0000840D0000}"/>
    <cellStyle name="Currency 5 7 2 3 2" xfId="14403" xr:uid="{764DED07-AAC4-427B-8824-45B749AE6C7A}"/>
    <cellStyle name="Currency 5 7 2 4" xfId="9601" xr:uid="{DC93A830-0AF1-4EC4-B764-C728922F3FEF}"/>
    <cellStyle name="Currency 5 7 2 5" xfId="10186" xr:uid="{0BF16A3B-12FF-43AF-8703-B55BA03C4AFC}"/>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767D65FA-BB55-46FF-B37A-5CA3837C496E}"/>
    <cellStyle name="Currency 5 7 3 2 3" xfId="12744" xr:uid="{65EDE1DD-21AB-499E-9121-CFFBD8849A63}"/>
    <cellStyle name="Currency 5 7 3 3" xfId="5490" xr:uid="{00000000-0005-0000-0000-0000880D0000}"/>
    <cellStyle name="Currency 5 7 3 3 2" xfId="14816" xr:uid="{DDE323CE-F999-4337-9376-0F8104D7A8E3}"/>
    <cellStyle name="Currency 5 7 3 4" xfId="10599" xr:uid="{A531076A-54DE-4227-9814-ED3C55D6D390}"/>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07ACE3FD-0C72-41FC-8DEF-963BF48C3E67}"/>
    <cellStyle name="Currency 5 7 4 2 3" xfId="13157" xr:uid="{8F8BED36-A21F-4DD7-B116-3684FB55D519}"/>
    <cellStyle name="Currency 5 7 4 3" xfId="5903" xr:uid="{00000000-0005-0000-0000-00008C0D0000}"/>
    <cellStyle name="Currency 5 7 4 3 2" xfId="15229" xr:uid="{1AD13728-E61B-4F8A-ABC7-981961D3334C}"/>
    <cellStyle name="Currency 5 7 4 4" xfId="11012" xr:uid="{4A3D4CF6-9106-4447-B02E-3B0A7B9D7D3F}"/>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5362DDA6-51D7-4D14-A78C-C8A50BE16FC1}"/>
    <cellStyle name="Currency 5 7 5 2 3" xfId="13570" xr:uid="{7A39A453-E352-420C-AC36-8BFACE12560F}"/>
    <cellStyle name="Currency 5 7 5 3" xfId="6316" xr:uid="{00000000-0005-0000-0000-0000900D0000}"/>
    <cellStyle name="Currency 5 7 5 3 2" xfId="15642" xr:uid="{3F5E905D-896E-44B9-AF41-26B68B5A7AB7}"/>
    <cellStyle name="Currency 5 7 5 4" xfId="11425" xr:uid="{E6E47100-992F-4F2C-B74A-633A9F222850}"/>
    <cellStyle name="Currency 5 7 6" xfId="2445" xr:uid="{00000000-0005-0000-0000-0000910D0000}"/>
    <cellStyle name="Currency 5 7 6 2" xfId="6729" xr:uid="{00000000-0005-0000-0000-0000920D0000}"/>
    <cellStyle name="Currency 5 7 6 2 2" xfId="16055" xr:uid="{A13AA878-FAC7-4610-B305-D0475020AFB7}"/>
    <cellStyle name="Currency 5 7 6 3" xfId="11838" xr:uid="{82E3121A-27DF-4DD6-8F9C-020C1FADFCDF}"/>
    <cellStyle name="Currency 5 7 7" xfId="2742" xr:uid="{00000000-0005-0000-0000-0000930D0000}"/>
    <cellStyle name="Currency 5 7 8" xfId="2823" xr:uid="{00000000-0005-0000-0000-0000940D0000}"/>
    <cellStyle name="Currency 5 7 8 2" xfId="7046" xr:uid="{00000000-0005-0000-0000-0000950D0000}"/>
    <cellStyle name="Currency 5 7 8 2 2" xfId="16372" xr:uid="{51C18618-DFFB-4C10-9A88-1C55A9E04B89}"/>
    <cellStyle name="Currency 5 7 8 3" xfId="12155" xr:uid="{EDD064F6-40CA-4055-BE48-D8B48297B69F}"/>
    <cellStyle name="Currency 5 7 9" xfId="4663" xr:uid="{00000000-0005-0000-0000-0000960D0000}"/>
    <cellStyle name="Currency 5 7 9 2" xfId="13989" xr:uid="{44A49C24-D44E-46B9-8C84-EFCB1B4852DA}"/>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8368B22A-E657-4723-9B9D-5C2B306628A8}"/>
    <cellStyle name="Normal 12 10 3" xfId="11839" xr:uid="{0AA56F65-C90E-49EF-8C78-EFD6F4027CAD}"/>
    <cellStyle name="Normal 12 11" xfId="4664" xr:uid="{00000000-0005-0000-0000-0000CC0D0000}"/>
    <cellStyle name="Normal 12 11 2" xfId="13990" xr:uid="{AB737D38-653A-4FF4-94B8-8FC612E99BB4}"/>
    <cellStyle name="Normal 12 12" xfId="8770" xr:uid="{16E7F001-A88D-4413-825E-78352A31064A}"/>
    <cellStyle name="Normal 12 13" xfId="9773" xr:uid="{8A18211C-C6BE-4EF8-A05A-E54FA0CBFD14}"/>
    <cellStyle name="Normal 12 2" xfId="260" xr:uid="{00000000-0005-0000-0000-0000CD0D0000}"/>
    <cellStyle name="Normal 12 2 10" xfId="8811" xr:uid="{C610EFA7-DF28-475D-A7AA-61B6675A083B}"/>
    <cellStyle name="Normal 12 2 11" xfId="9774" xr:uid="{432A7FEB-8661-4733-B0D5-56CD924F02A0}"/>
    <cellStyle name="Normal 12 2 2" xfId="261" xr:uid="{00000000-0005-0000-0000-0000CE0D0000}"/>
    <cellStyle name="Normal 12 2 2 10" xfId="9775" xr:uid="{95D3DEA8-4D20-46CA-844F-C342F54DDF67}"/>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B2D97D92-F69C-4CF7-B179-9BD9BC634BFA}"/>
    <cellStyle name="Normal 12 2 2 2 2 2 3" xfId="12335" xr:uid="{B8784AAC-1A30-4E24-92F9-72D9EFD9934B}"/>
    <cellStyle name="Normal 12 2 2 2 2 3" xfId="5081" xr:uid="{00000000-0005-0000-0000-0000D30D0000}"/>
    <cellStyle name="Normal 12 2 2 2 2 3 2" xfId="14407" xr:uid="{289A0854-BD9A-4EF2-AE85-C9623ED5DC97}"/>
    <cellStyle name="Normal 12 2 2 2 2 4" xfId="9546" xr:uid="{609DE280-4DA3-4355-9F1C-9E01708347EA}"/>
    <cellStyle name="Normal 12 2 2 2 2 5" xfId="10190" xr:uid="{EE57FB7B-8AB9-4354-838F-19CAB09D014E}"/>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8AE21030-31C0-4590-942E-4A4030D32194}"/>
    <cellStyle name="Normal 12 2 2 2 3 2 3" xfId="12748" xr:uid="{57F076E2-3F4A-4512-9F74-643624D863D4}"/>
    <cellStyle name="Normal 12 2 2 2 3 3" xfId="5494" xr:uid="{00000000-0005-0000-0000-0000D70D0000}"/>
    <cellStyle name="Normal 12 2 2 2 3 3 2" xfId="14820" xr:uid="{33F86482-725B-40F4-89F9-56E53D14C9BB}"/>
    <cellStyle name="Normal 12 2 2 2 3 4" xfId="10603" xr:uid="{2070B9D4-CC44-457B-8E48-B6A36561E082}"/>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B3F0B1FF-598A-4D72-8001-EFA39E6210D2}"/>
    <cellStyle name="Normal 12 2 2 2 4 2 3" xfId="13161" xr:uid="{1DE59AA1-F012-49B1-BAF7-9DFE2768AB14}"/>
    <cellStyle name="Normal 12 2 2 2 4 3" xfId="5907" xr:uid="{00000000-0005-0000-0000-0000DB0D0000}"/>
    <cellStyle name="Normal 12 2 2 2 4 3 2" xfId="15233" xr:uid="{F755B9A4-04C6-4A6C-8E65-7500755EFA9E}"/>
    <cellStyle name="Normal 12 2 2 2 4 4" xfId="11016" xr:uid="{D33701D6-F3E6-4B9F-BD35-9509A93B14C4}"/>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58BE5A12-5DB4-46D2-9063-5FD9FBE91BDD}"/>
    <cellStyle name="Normal 12 2 2 2 5 2 3" xfId="13574" xr:uid="{763BC003-785A-44B6-BA8A-E7576AC1AD03}"/>
    <cellStyle name="Normal 12 2 2 2 5 3" xfId="6320" xr:uid="{00000000-0005-0000-0000-0000DF0D0000}"/>
    <cellStyle name="Normal 12 2 2 2 5 3 2" xfId="15646" xr:uid="{F0857F01-B286-43C6-9A3C-AF1B7EA1CEC4}"/>
    <cellStyle name="Normal 12 2 2 2 5 4" xfId="11429" xr:uid="{9B194A9D-850F-4D38-9799-5369FD08BCCF}"/>
    <cellStyle name="Normal 12 2 2 2 6" xfId="2450" xr:uid="{00000000-0005-0000-0000-0000E00D0000}"/>
    <cellStyle name="Normal 12 2 2 2 6 2" xfId="6733" xr:uid="{00000000-0005-0000-0000-0000E10D0000}"/>
    <cellStyle name="Normal 12 2 2 2 6 2 2" xfId="16059" xr:uid="{E3AB5F8C-E6AD-44BD-A2BD-23E0D262AA1A}"/>
    <cellStyle name="Normal 12 2 2 2 6 3" xfId="11842" xr:uid="{12C16F3E-25A3-460E-A0FE-75ECF745B78E}"/>
    <cellStyle name="Normal 12 2 2 2 7" xfId="4667" xr:uid="{00000000-0005-0000-0000-0000E20D0000}"/>
    <cellStyle name="Normal 12 2 2 2 7 2" xfId="13993" xr:uid="{46B31F20-AECB-4AF7-9954-603141A72243}"/>
    <cellStyle name="Normal 12 2 2 2 8" xfId="9121" xr:uid="{527C15BB-BE4D-46AB-9317-CC8E6838C91D}"/>
    <cellStyle name="Normal 12 2 2 2 9" xfId="9776" xr:uid="{62240C08-AD19-46FC-8A0D-5FE084C6C604}"/>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59D81310-D9B4-4479-9957-E73DEA64CEDD}"/>
    <cellStyle name="Normal 12 2 2 3 2 3" xfId="12334" xr:uid="{C4158EE8-2685-4E51-BC3B-0FFD7249B092}"/>
    <cellStyle name="Normal 12 2 2 3 3" xfId="5080" xr:uid="{00000000-0005-0000-0000-0000E60D0000}"/>
    <cellStyle name="Normal 12 2 2 3 3 2" xfId="14406" xr:uid="{63B6CBA8-5D68-44FD-9DED-A7BB0ADA6C05}"/>
    <cellStyle name="Normal 12 2 2 3 4" xfId="9339" xr:uid="{F3F800C1-92DF-4F1F-A561-C3F3C7F8BAD1}"/>
    <cellStyle name="Normal 12 2 2 3 5" xfId="10189" xr:uid="{BC5F05FA-7998-41D5-9AEA-D3225001A7F3}"/>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90FFD95C-1665-4AF9-AEA8-A5BEB8BC6B18}"/>
    <cellStyle name="Normal 12 2 2 4 2 3" xfId="12747" xr:uid="{E27CB479-1D24-4D99-BEF5-B3A1DC9FB4E2}"/>
    <cellStyle name="Normal 12 2 2 4 3" xfId="5493" xr:uid="{00000000-0005-0000-0000-0000EA0D0000}"/>
    <cellStyle name="Normal 12 2 2 4 3 2" xfId="14819" xr:uid="{2878DC96-F395-400A-9782-4D5130B81791}"/>
    <cellStyle name="Normal 12 2 2 4 4" xfId="10602" xr:uid="{45F5FEE7-3A5B-4D10-A744-29C13EC28A36}"/>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CC5FBA43-637A-496B-A082-C2E73C318557}"/>
    <cellStyle name="Normal 12 2 2 5 2 3" xfId="13160" xr:uid="{53368521-C2BD-426D-A4BB-8DBB48AD906B}"/>
    <cellStyle name="Normal 12 2 2 5 3" xfId="5906" xr:uid="{00000000-0005-0000-0000-0000EE0D0000}"/>
    <cellStyle name="Normal 12 2 2 5 3 2" xfId="15232" xr:uid="{292D32B8-29A6-4890-B401-D24C792BF215}"/>
    <cellStyle name="Normal 12 2 2 5 4" xfId="11015" xr:uid="{4E6C7BDE-3851-401A-8200-BFE3C2390950}"/>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770F21EA-6256-4B4E-A1E0-D39126214BDD}"/>
    <cellStyle name="Normal 12 2 2 6 2 3" xfId="13573" xr:uid="{B900A93E-61E4-4CFE-A0F1-918987645736}"/>
    <cellStyle name="Normal 12 2 2 6 3" xfId="6319" xr:uid="{00000000-0005-0000-0000-0000F20D0000}"/>
    <cellStyle name="Normal 12 2 2 6 3 2" xfId="15645" xr:uid="{123D909E-512D-48F6-801A-112A86F0E226}"/>
    <cellStyle name="Normal 12 2 2 6 4" xfId="11428" xr:uid="{5E57ECC3-96E0-4F8C-8D57-6825D082064A}"/>
    <cellStyle name="Normal 12 2 2 7" xfId="2449" xr:uid="{00000000-0005-0000-0000-0000F30D0000}"/>
    <cellStyle name="Normal 12 2 2 7 2" xfId="6732" xr:uid="{00000000-0005-0000-0000-0000F40D0000}"/>
    <cellStyle name="Normal 12 2 2 7 2 2" xfId="16058" xr:uid="{85E9E9F6-2E14-4049-A1ED-E600E3D7DAFD}"/>
    <cellStyle name="Normal 12 2 2 7 3" xfId="11841" xr:uid="{12D9E202-D91D-4733-80E9-833201A5B08E}"/>
    <cellStyle name="Normal 12 2 2 8" xfId="4666" xr:uid="{00000000-0005-0000-0000-0000F50D0000}"/>
    <cellStyle name="Normal 12 2 2 8 2" xfId="13992" xr:uid="{B02EBEEF-0E13-4DD6-84F6-F8B2462FB904}"/>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10082FD0-5245-4232-9054-DAA657D91F96}"/>
    <cellStyle name="Normal 12 2 3 2 2 3" xfId="12336" xr:uid="{D12D1ECA-E9C6-4138-B14D-6C98054340AC}"/>
    <cellStyle name="Normal 12 2 3 2 3" xfId="5082" xr:uid="{00000000-0005-0000-0000-0000FA0D0000}"/>
    <cellStyle name="Normal 12 2 3 2 3 2" xfId="14408" xr:uid="{3554C002-ABFA-44E6-83D2-A336C3A97961}"/>
    <cellStyle name="Normal 12 2 3 2 4" xfId="9443" xr:uid="{61F0A971-1285-4215-8170-49D07520551A}"/>
    <cellStyle name="Normal 12 2 3 2 5" xfId="10191" xr:uid="{85CC9F48-D054-4B31-A0A2-6B984ABA1E77}"/>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2F256A9A-B0EF-4DC3-9656-4189E927893D}"/>
    <cellStyle name="Normal 12 2 3 3 2 3" xfId="12749" xr:uid="{7D1F667A-5FA1-49E5-BB56-38E1C7BFEB47}"/>
    <cellStyle name="Normal 12 2 3 3 3" xfId="5495" xr:uid="{00000000-0005-0000-0000-0000FE0D0000}"/>
    <cellStyle name="Normal 12 2 3 3 3 2" xfId="14821" xr:uid="{7179758D-D9CA-4AE1-A3C2-99963FE4CA42}"/>
    <cellStyle name="Normal 12 2 3 3 4" xfId="10604" xr:uid="{19C33F04-0FC4-49ED-8BEB-0EC1BA973DFF}"/>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0D6CB561-8FF1-4786-9096-024E45880335}"/>
    <cellStyle name="Normal 12 2 3 4 2 3" xfId="13162" xr:uid="{C0B80235-87E1-4B0C-8E8B-5DB8C3B3E255}"/>
    <cellStyle name="Normal 12 2 3 4 3" xfId="5908" xr:uid="{00000000-0005-0000-0000-0000020E0000}"/>
    <cellStyle name="Normal 12 2 3 4 3 2" xfId="15234" xr:uid="{C1B39642-F4A8-4423-BDFA-81E318EA061A}"/>
    <cellStyle name="Normal 12 2 3 4 4" xfId="11017" xr:uid="{79F67AC1-A3F2-4850-8C41-D6789147B658}"/>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5E0B5E92-7B31-4AB5-B90B-7E5FFFA19188}"/>
    <cellStyle name="Normal 12 2 3 5 2 3" xfId="13575" xr:uid="{D62F5DD0-5C91-43A3-8C9B-206C959B0B3D}"/>
    <cellStyle name="Normal 12 2 3 5 3" xfId="6321" xr:uid="{00000000-0005-0000-0000-0000060E0000}"/>
    <cellStyle name="Normal 12 2 3 5 3 2" xfId="15647" xr:uid="{588386A8-34A2-4591-8E34-235F206A1C21}"/>
    <cellStyle name="Normal 12 2 3 5 4" xfId="11430" xr:uid="{05EDFED8-99BD-4B4E-980E-8B31AA2E9743}"/>
    <cellStyle name="Normal 12 2 3 6" xfId="2451" xr:uid="{00000000-0005-0000-0000-0000070E0000}"/>
    <cellStyle name="Normal 12 2 3 6 2" xfId="6734" xr:uid="{00000000-0005-0000-0000-0000080E0000}"/>
    <cellStyle name="Normal 12 2 3 6 2 2" xfId="16060" xr:uid="{3C3CACED-2C9C-4B5A-951A-6D1DD4F7F325}"/>
    <cellStyle name="Normal 12 2 3 6 3" xfId="11843" xr:uid="{B5E221D6-E00E-4B40-B5C5-D5F1EEDDD796}"/>
    <cellStyle name="Normal 12 2 3 7" xfId="4668" xr:uid="{00000000-0005-0000-0000-0000090E0000}"/>
    <cellStyle name="Normal 12 2 3 7 2" xfId="13994" xr:uid="{1585AC4D-81BB-4490-82C9-3E064AC0DB80}"/>
    <cellStyle name="Normal 12 2 3 8" xfId="9018" xr:uid="{C3F41DC6-3A80-4145-A68D-169ABB54B6D0}"/>
    <cellStyle name="Normal 12 2 3 9" xfId="9777" xr:uid="{033EF20A-C35C-41C7-89E5-1FCE6DEDBD50}"/>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519C530D-9286-4CB4-B2C1-A82028B62309}"/>
    <cellStyle name="Normal 12 2 4 2 3" xfId="12333" xr:uid="{2C3D141D-64F7-4DA6-AEE9-DB637C216C17}"/>
    <cellStyle name="Normal 12 2 4 3" xfId="5079" xr:uid="{00000000-0005-0000-0000-00000D0E0000}"/>
    <cellStyle name="Normal 12 2 4 3 2" xfId="14405" xr:uid="{5070F591-ED46-41E8-B92F-3297E54DBFD5}"/>
    <cellStyle name="Normal 12 2 4 4" xfId="9236" xr:uid="{C3D0196D-4BB3-4870-9762-A3CF40E5B45B}"/>
    <cellStyle name="Normal 12 2 4 5" xfId="10188" xr:uid="{306929C2-1AE5-4872-8D9B-63ED9C462F31}"/>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3E0C318B-32F6-40EA-ABE8-84A35A00E264}"/>
    <cellStyle name="Normal 12 2 5 2 3" xfId="12746" xr:uid="{F55C39A3-90B1-4B3A-9B6D-7323D2085D2B}"/>
    <cellStyle name="Normal 12 2 5 3" xfId="5492" xr:uid="{00000000-0005-0000-0000-0000110E0000}"/>
    <cellStyle name="Normal 12 2 5 3 2" xfId="14818" xr:uid="{BB5EBBCE-6E35-4745-AFF1-D9DACF06C294}"/>
    <cellStyle name="Normal 12 2 5 4" xfId="10601" xr:uid="{96837995-0116-4132-B24B-7612159ADCD1}"/>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81F5039A-D0B1-471A-98B0-BD8424665806}"/>
    <cellStyle name="Normal 12 2 6 2 3" xfId="13159" xr:uid="{97301D4F-D8DF-45F9-AEA6-EF8C621C9A3C}"/>
    <cellStyle name="Normal 12 2 6 3" xfId="5905" xr:uid="{00000000-0005-0000-0000-0000150E0000}"/>
    <cellStyle name="Normal 12 2 6 3 2" xfId="15231" xr:uid="{D427C143-7AD4-4623-95E5-F33A312CF662}"/>
    <cellStyle name="Normal 12 2 6 4" xfId="11014" xr:uid="{C63838A6-4B75-468C-9837-A0F37CF15E84}"/>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53B6D9E3-B749-48CE-B3F5-6C0C48B8CD91}"/>
    <cellStyle name="Normal 12 2 7 2 3" xfId="13572" xr:uid="{0B7C503F-754D-4419-8A03-49744C3471FD}"/>
    <cellStyle name="Normal 12 2 7 3" xfId="6318" xr:uid="{00000000-0005-0000-0000-0000190E0000}"/>
    <cellStyle name="Normal 12 2 7 3 2" xfId="15644" xr:uid="{28CE63FD-B434-4B62-81E6-400F9314DFE7}"/>
    <cellStyle name="Normal 12 2 7 4" xfId="11427" xr:uid="{81217582-036D-4977-BF6D-3107010DC92E}"/>
    <cellStyle name="Normal 12 2 8" xfId="2448" xr:uid="{00000000-0005-0000-0000-00001A0E0000}"/>
    <cellStyle name="Normal 12 2 8 2" xfId="6731" xr:uid="{00000000-0005-0000-0000-00001B0E0000}"/>
    <cellStyle name="Normal 12 2 8 2 2" xfId="16057" xr:uid="{02AC1C01-0513-420A-80DD-AD54841B541B}"/>
    <cellStyle name="Normal 12 2 8 3" xfId="11840" xr:uid="{D3B6EF23-1A15-41C8-A0E4-8778E28F2AC8}"/>
    <cellStyle name="Normal 12 2 9" xfId="4665" xr:uid="{00000000-0005-0000-0000-00001C0E0000}"/>
    <cellStyle name="Normal 12 2 9 2" xfId="13991" xr:uid="{ED315B56-8742-4269-A06F-6659C4A3B5BA}"/>
    <cellStyle name="Normal 12 3" xfId="264" xr:uid="{00000000-0005-0000-0000-00001D0E0000}"/>
    <cellStyle name="Normal 12 3 10" xfId="9778" xr:uid="{FC2E130F-6CC4-4D52-B17C-617EE5B95088}"/>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616926A9-4126-471D-81E7-7CEC16A9FE6F}"/>
    <cellStyle name="Normal 12 3 2 2 2 3" xfId="12338" xr:uid="{51EDE477-02E8-43CA-83B3-331D53CCDE3C}"/>
    <cellStyle name="Normal 12 3 2 2 3" xfId="5084" xr:uid="{00000000-0005-0000-0000-0000220E0000}"/>
    <cellStyle name="Normal 12 3 2 2 3 2" xfId="14410" xr:uid="{3AD617C8-01BE-48C7-8F12-BFAAA2EC82DE}"/>
    <cellStyle name="Normal 12 3 2 2 4" xfId="9505" xr:uid="{B127619B-367D-40AD-851E-01DDBB2DCD13}"/>
    <cellStyle name="Normal 12 3 2 2 5" xfId="10193" xr:uid="{A0E07710-4804-40C3-A0ED-60C3C84FE725}"/>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AA7539EE-79BB-4EAB-9002-037BB40B726E}"/>
    <cellStyle name="Normal 12 3 2 3 2 3" xfId="12751" xr:uid="{F3E360A0-4060-472C-AD4D-E67AEB6FD2E5}"/>
    <cellStyle name="Normal 12 3 2 3 3" xfId="5497" xr:uid="{00000000-0005-0000-0000-0000260E0000}"/>
    <cellStyle name="Normal 12 3 2 3 3 2" xfId="14823" xr:uid="{A1E7FCF7-864F-43E4-BB44-F1F7065A80B3}"/>
    <cellStyle name="Normal 12 3 2 3 4" xfId="10606" xr:uid="{F9D5E79D-25E2-48EB-9667-AF07AA48292F}"/>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3E72E40F-1A77-426E-9DFB-8D0FBFA9B4F3}"/>
    <cellStyle name="Normal 12 3 2 4 2 3" xfId="13164" xr:uid="{72157920-DCEF-4110-937F-12573839B0AE}"/>
    <cellStyle name="Normal 12 3 2 4 3" xfId="5910" xr:uid="{00000000-0005-0000-0000-00002A0E0000}"/>
    <cellStyle name="Normal 12 3 2 4 3 2" xfId="15236" xr:uid="{621769DC-E4F7-4062-B083-72362B7E6373}"/>
    <cellStyle name="Normal 12 3 2 4 4" xfId="11019" xr:uid="{F9F40A1A-9EA4-4083-91FF-67CBE74506C2}"/>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EBD85932-E7B8-484F-A5D0-198055825C6D}"/>
    <cellStyle name="Normal 12 3 2 5 2 3" xfId="13577" xr:uid="{4D471D48-26A3-413B-9026-77E3DF17C33C}"/>
    <cellStyle name="Normal 12 3 2 5 3" xfId="6323" xr:uid="{00000000-0005-0000-0000-00002E0E0000}"/>
    <cellStyle name="Normal 12 3 2 5 3 2" xfId="15649" xr:uid="{02D0BE9C-C641-47EF-B45D-718B48E66692}"/>
    <cellStyle name="Normal 12 3 2 5 4" xfId="11432" xr:uid="{74D58C67-5E99-413D-BC72-D3882CD58F33}"/>
    <cellStyle name="Normal 12 3 2 6" xfId="2453" xr:uid="{00000000-0005-0000-0000-00002F0E0000}"/>
    <cellStyle name="Normal 12 3 2 6 2" xfId="6736" xr:uid="{00000000-0005-0000-0000-0000300E0000}"/>
    <cellStyle name="Normal 12 3 2 6 2 2" xfId="16062" xr:uid="{CF337226-9127-4326-8A7F-ECF35F4BDE1B}"/>
    <cellStyle name="Normal 12 3 2 6 3" xfId="11845" xr:uid="{78DF9C87-245B-498F-BB62-3ACCE609C920}"/>
    <cellStyle name="Normal 12 3 2 7" xfId="4670" xr:uid="{00000000-0005-0000-0000-0000310E0000}"/>
    <cellStyle name="Normal 12 3 2 7 2" xfId="13996" xr:uid="{E286D86C-94E1-4727-AC97-01D29559CFB1}"/>
    <cellStyle name="Normal 12 3 2 8" xfId="9080" xr:uid="{403F3083-4A9F-4295-B676-C31241B8936E}"/>
    <cellStyle name="Normal 12 3 2 9" xfId="9779" xr:uid="{E6357983-8746-40B5-B8F2-5988BAD41C54}"/>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304337A0-D102-48F3-BDB7-A2E6D16006A3}"/>
    <cellStyle name="Normal 12 3 3 2 3" xfId="12337" xr:uid="{B270733A-FE1F-4928-8ABB-FC28B3C1EE35}"/>
    <cellStyle name="Normal 12 3 3 3" xfId="5083" xr:uid="{00000000-0005-0000-0000-0000350E0000}"/>
    <cellStyle name="Normal 12 3 3 3 2" xfId="14409" xr:uid="{DAEF771D-FBB3-4237-A05F-0A06845795DE}"/>
    <cellStyle name="Normal 12 3 3 4" xfId="9298" xr:uid="{A6F9D711-F86A-406D-B160-91678C261745}"/>
    <cellStyle name="Normal 12 3 3 5" xfId="10192" xr:uid="{582CA5F9-5383-4785-B017-2F94DBD3AD70}"/>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BCDC46A9-8492-4C03-85F5-9B900B5DF4F7}"/>
    <cellStyle name="Normal 12 3 4 2 3" xfId="12750" xr:uid="{580A5571-1CB2-48B3-A6CB-A885ED7E6FC8}"/>
    <cellStyle name="Normal 12 3 4 3" xfId="5496" xr:uid="{00000000-0005-0000-0000-0000390E0000}"/>
    <cellStyle name="Normal 12 3 4 3 2" xfId="14822" xr:uid="{23F9A8A6-9088-49C7-9F15-0D41F94A2646}"/>
    <cellStyle name="Normal 12 3 4 4" xfId="10605" xr:uid="{7E48EA72-42E2-4066-B871-5EDA638A78C8}"/>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6CE0CA4E-118A-4744-B7CA-69AAC7975464}"/>
    <cellStyle name="Normal 12 3 5 2 3" xfId="13163" xr:uid="{ACED9E41-B8B5-4FBD-BE86-53FB6815367E}"/>
    <cellStyle name="Normal 12 3 5 3" xfId="5909" xr:uid="{00000000-0005-0000-0000-00003D0E0000}"/>
    <cellStyle name="Normal 12 3 5 3 2" xfId="15235" xr:uid="{9C55563A-D408-4574-8A7C-4DBD669E995D}"/>
    <cellStyle name="Normal 12 3 5 4" xfId="11018" xr:uid="{1DDDBB5A-47B9-4785-8E90-FE059131D691}"/>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CB9D449B-F1F3-4A5F-9265-1959188893FD}"/>
    <cellStyle name="Normal 12 3 6 2 3" xfId="13576" xr:uid="{A130B21C-9E23-4B69-AC61-439502C05D20}"/>
    <cellStyle name="Normal 12 3 6 3" xfId="6322" xr:uid="{00000000-0005-0000-0000-0000410E0000}"/>
    <cellStyle name="Normal 12 3 6 3 2" xfId="15648" xr:uid="{09842CDC-3C64-49FD-A51D-13A4696A03FB}"/>
    <cellStyle name="Normal 12 3 6 4" xfId="11431" xr:uid="{71484DBC-EBDE-4480-AC2E-7470EC2A16F4}"/>
    <cellStyle name="Normal 12 3 7" xfId="2452" xr:uid="{00000000-0005-0000-0000-0000420E0000}"/>
    <cellStyle name="Normal 12 3 7 2" xfId="6735" xr:uid="{00000000-0005-0000-0000-0000430E0000}"/>
    <cellStyle name="Normal 12 3 7 2 2" xfId="16061" xr:uid="{4B13F4AA-E282-48B8-8EC7-8F7A4FCA7BDD}"/>
    <cellStyle name="Normal 12 3 7 3" xfId="11844" xr:uid="{3E4F5512-00BE-40CB-ACA9-8119AA452120}"/>
    <cellStyle name="Normal 12 3 8" xfId="4669" xr:uid="{00000000-0005-0000-0000-0000440E0000}"/>
    <cellStyle name="Normal 12 3 8 2" xfId="13995" xr:uid="{43642174-FFE9-4DE9-96AA-C29D343819BC}"/>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908E5C12-4118-408F-AFCB-53260C57FA1C}"/>
    <cellStyle name="Normal 12 4 2 2 3" xfId="12339" xr:uid="{21264A86-21EA-4E0E-B714-B6B39D80FA03}"/>
    <cellStyle name="Normal 12 4 2 3" xfId="5085" xr:uid="{00000000-0005-0000-0000-0000490E0000}"/>
    <cellStyle name="Normal 12 4 2 3 2" xfId="14411" xr:uid="{5406E6C8-E93C-4C7C-A61A-449B69CE7221}"/>
    <cellStyle name="Normal 12 4 2 4" xfId="9402" xr:uid="{F40C9AB7-F4D0-4A65-BBAA-FF5409160FE5}"/>
    <cellStyle name="Normal 12 4 2 5" xfId="10194" xr:uid="{0AEF77C6-D0A6-40EF-BC52-6C7CB61FEFC9}"/>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2843A391-F6C2-4190-8F42-001925B75C29}"/>
    <cellStyle name="Normal 12 4 3 2 3" xfId="12752" xr:uid="{21493775-FE4D-4431-BB98-D8E2C4AB2279}"/>
    <cellStyle name="Normal 12 4 3 3" xfId="5498" xr:uid="{00000000-0005-0000-0000-00004D0E0000}"/>
    <cellStyle name="Normal 12 4 3 3 2" xfId="14824" xr:uid="{4186C151-8840-45A5-886C-90FCF06B4904}"/>
    <cellStyle name="Normal 12 4 3 4" xfId="10607" xr:uid="{108C42A0-14B3-4E37-B730-9D57252870C2}"/>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B773C8A6-1EEF-4A97-8B13-7102F136CFFC}"/>
    <cellStyle name="Normal 12 4 4 2 3" xfId="13165" xr:uid="{6323A5B5-BE07-40CE-8426-DC4C6D1E637C}"/>
    <cellStyle name="Normal 12 4 4 3" xfId="5911" xr:uid="{00000000-0005-0000-0000-0000510E0000}"/>
    <cellStyle name="Normal 12 4 4 3 2" xfId="15237" xr:uid="{A8D24227-01DE-44D1-A7C5-8F96D58FD36C}"/>
    <cellStyle name="Normal 12 4 4 4" xfId="11020" xr:uid="{E860FA4D-06C7-4AAD-8F53-5B9214BF8444}"/>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9847E7AC-2A3A-4097-B1A1-0790025B1485}"/>
    <cellStyle name="Normal 12 4 5 2 3" xfId="13578" xr:uid="{0E6C2CBF-0443-4837-9B24-EEE37A3F703E}"/>
    <cellStyle name="Normal 12 4 5 3" xfId="6324" xr:uid="{00000000-0005-0000-0000-0000550E0000}"/>
    <cellStyle name="Normal 12 4 5 3 2" xfId="15650" xr:uid="{B3C4DBB0-3687-47EC-8E25-F6858EE7D56F}"/>
    <cellStyle name="Normal 12 4 5 4" xfId="11433" xr:uid="{580D1CBD-A3A7-4380-9AB0-6525C159CBFC}"/>
    <cellStyle name="Normal 12 4 6" xfId="2454" xr:uid="{00000000-0005-0000-0000-0000560E0000}"/>
    <cellStyle name="Normal 12 4 6 2" xfId="6737" xr:uid="{00000000-0005-0000-0000-0000570E0000}"/>
    <cellStyle name="Normal 12 4 6 2 2" xfId="16063" xr:uid="{ED824D23-FCE8-46C4-8B72-4BBBAF19A7B9}"/>
    <cellStyle name="Normal 12 4 6 3" xfId="11846" xr:uid="{352BBA3E-73C0-4AB7-B81B-E9ECE8ADD17F}"/>
    <cellStyle name="Normal 12 4 7" xfId="4671" xr:uid="{00000000-0005-0000-0000-0000580E0000}"/>
    <cellStyle name="Normal 12 4 7 2" xfId="13997" xr:uid="{A7256081-BBCA-49E1-BF3E-9FEEA0914884}"/>
    <cellStyle name="Normal 12 4 8" xfId="8977" xr:uid="{5BFFE5F3-99F6-4DA1-A3EF-BF749B3B7ACB}"/>
    <cellStyle name="Normal 12 4 9" xfId="9780" xr:uid="{BDB8AE77-DFCE-42CA-B0E1-8259DC7B202D}"/>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AA41543E-4227-46DB-B448-8C1174DD9397}"/>
    <cellStyle name="Normal 12 6 2 3" xfId="12332" xr:uid="{EF23A492-4629-41B8-96DE-CF169720C522}"/>
    <cellStyle name="Normal 12 6 3" xfId="5078" xr:uid="{00000000-0005-0000-0000-00005D0E0000}"/>
    <cellStyle name="Normal 12 6 3 2" xfId="14404" xr:uid="{1B4BA2C7-5147-4F8C-83BB-53C621BAD53E}"/>
    <cellStyle name="Normal 12 6 4" xfId="9194" xr:uid="{92D32932-3865-4F6F-A551-9A99EC116A43}"/>
    <cellStyle name="Normal 12 6 5" xfId="10187" xr:uid="{FDE0C304-6173-442F-B84D-C37E9409CFC5}"/>
    <cellStyle name="Normal 12 7" xfId="1183" xr:uid="{00000000-0005-0000-0000-00005E0E0000}"/>
    <cellStyle name="Normal 12 7 2" xfId="3414" xr:uid="{00000000-0005-0000-0000-00005F0E0000}"/>
    <cellStyle name="Normal 12 7 2 2" xfId="7636" xr:uid="{00000000-0005-0000-0000-0000600E0000}"/>
    <cellStyle name="Normal 12 7 2 2 2" xfId="16962" xr:uid="{9A18C6FB-E1EE-44B1-9BFD-9B74D920AF27}"/>
    <cellStyle name="Normal 12 7 2 3" xfId="12745" xr:uid="{162C9D9C-6135-4FDB-A738-080B21FCD1A1}"/>
    <cellStyle name="Normal 12 7 3" xfId="5491" xr:uid="{00000000-0005-0000-0000-0000610E0000}"/>
    <cellStyle name="Normal 12 7 3 2" xfId="14817" xr:uid="{7FFCDB6F-2E05-4F5B-99DC-61CD33EB30A4}"/>
    <cellStyle name="Normal 12 7 4" xfId="10600" xr:uid="{925BFF84-9680-455C-876B-60FA1F247EA9}"/>
    <cellStyle name="Normal 12 8" xfId="1597" xr:uid="{00000000-0005-0000-0000-0000620E0000}"/>
    <cellStyle name="Normal 12 8 2" xfId="3827" xr:uid="{00000000-0005-0000-0000-0000630E0000}"/>
    <cellStyle name="Normal 12 8 2 2" xfId="8049" xr:uid="{00000000-0005-0000-0000-0000640E0000}"/>
    <cellStyle name="Normal 12 8 2 2 2" xfId="17375" xr:uid="{1FAD850E-DD5A-4E0D-B538-C885B5D76E30}"/>
    <cellStyle name="Normal 12 8 2 3" xfId="13158" xr:uid="{46514DB0-B0E4-43C1-B43D-20066338CE5A}"/>
    <cellStyle name="Normal 12 8 3" xfId="5904" xr:uid="{00000000-0005-0000-0000-0000650E0000}"/>
    <cellStyle name="Normal 12 8 3 2" xfId="15230" xr:uid="{BAD6AE00-400F-4608-B93E-9F8591D02558}"/>
    <cellStyle name="Normal 12 8 4" xfId="11013" xr:uid="{A4B3C256-667B-4C5E-B59F-85EE96E10649}"/>
    <cellStyle name="Normal 12 9" xfId="2011" xr:uid="{00000000-0005-0000-0000-0000660E0000}"/>
    <cellStyle name="Normal 12 9 2" xfId="4240" xr:uid="{00000000-0005-0000-0000-0000670E0000}"/>
    <cellStyle name="Normal 12 9 2 2" xfId="8462" xr:uid="{00000000-0005-0000-0000-0000680E0000}"/>
    <cellStyle name="Normal 12 9 2 2 2" xfId="17788" xr:uid="{10965386-E0F2-421D-B9BC-F71F53F7D0FA}"/>
    <cellStyle name="Normal 12 9 2 3" xfId="13571" xr:uid="{CEE31756-2965-44D3-95EF-055C9B57992A}"/>
    <cellStyle name="Normal 12 9 3" xfId="6317" xr:uid="{00000000-0005-0000-0000-0000690E0000}"/>
    <cellStyle name="Normal 12 9 3 2" xfId="15643" xr:uid="{957F4B53-2709-4AFA-A57B-55CD0650D8B6}"/>
    <cellStyle name="Normal 12 9 4" xfId="11426" xr:uid="{3433ED64-78ED-4B9E-A900-1C7152CB8F77}"/>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16F35C2C-746B-488D-AC68-3249BD2E3671}"/>
    <cellStyle name="Normal 14 2 2 3" xfId="12340" xr:uid="{49FBC3F0-DE64-477B-A913-C51E1FBDA574}"/>
    <cellStyle name="Normal 14 2 3" xfId="5086" xr:uid="{00000000-0005-0000-0000-0000700E0000}"/>
    <cellStyle name="Normal 14 2 3 2" xfId="14412" xr:uid="{29BEEDDF-7191-48FB-BBCC-E976F5EADCD9}"/>
    <cellStyle name="Normal 14 2 4" xfId="9371" xr:uid="{E1AFB5B4-F468-480A-B09F-3374B2F03BDA}"/>
    <cellStyle name="Normal 14 2 5" xfId="10195" xr:uid="{F9DF5813-39D5-428B-B762-530E3ACDF2D2}"/>
    <cellStyle name="Normal 14 3" xfId="1191" xr:uid="{00000000-0005-0000-0000-0000710E0000}"/>
    <cellStyle name="Normal 14 3 2" xfId="3422" xr:uid="{00000000-0005-0000-0000-0000720E0000}"/>
    <cellStyle name="Normal 14 3 2 2" xfId="7644" xr:uid="{00000000-0005-0000-0000-0000730E0000}"/>
    <cellStyle name="Normal 14 3 2 2 2" xfId="16970" xr:uid="{F912B9FB-4F06-444F-A38D-63DB1F43945F}"/>
    <cellStyle name="Normal 14 3 2 3" xfId="12753" xr:uid="{DCE274E0-4BCD-44B2-B574-8D8511DE1B5B}"/>
    <cellStyle name="Normal 14 3 3" xfId="5499" xr:uid="{00000000-0005-0000-0000-0000740E0000}"/>
    <cellStyle name="Normal 14 3 3 2" xfId="14825" xr:uid="{C76747BC-B22B-4A84-ACAD-4512942DE887}"/>
    <cellStyle name="Normal 14 3 4" xfId="10608" xr:uid="{7F9B048A-6B1D-4A61-A008-365D8D529CD5}"/>
    <cellStyle name="Normal 14 4" xfId="1605" xr:uid="{00000000-0005-0000-0000-0000750E0000}"/>
    <cellStyle name="Normal 14 4 2" xfId="3835" xr:uid="{00000000-0005-0000-0000-0000760E0000}"/>
    <cellStyle name="Normal 14 4 2 2" xfId="8057" xr:uid="{00000000-0005-0000-0000-0000770E0000}"/>
    <cellStyle name="Normal 14 4 2 2 2" xfId="17383" xr:uid="{B65BE681-C8B5-4217-87CD-A787D5B0C3AE}"/>
    <cellStyle name="Normal 14 4 2 3" xfId="13166" xr:uid="{219CB97B-7E93-489F-8071-08A1DA03F863}"/>
    <cellStyle name="Normal 14 4 3" xfId="5912" xr:uid="{00000000-0005-0000-0000-0000780E0000}"/>
    <cellStyle name="Normal 14 4 3 2" xfId="15238" xr:uid="{39B3EE51-F6BA-4728-9B5B-A72626D9865B}"/>
    <cellStyle name="Normal 14 4 4" xfId="11021" xr:uid="{7AC57F98-C26A-4F2F-8143-6B0FF7CCB231}"/>
    <cellStyle name="Normal 14 5" xfId="2019" xr:uid="{00000000-0005-0000-0000-0000790E0000}"/>
    <cellStyle name="Normal 14 5 2" xfId="4248" xr:uid="{00000000-0005-0000-0000-00007A0E0000}"/>
    <cellStyle name="Normal 14 5 2 2" xfId="8470" xr:uid="{00000000-0005-0000-0000-00007B0E0000}"/>
    <cellStyle name="Normal 14 5 2 2 2" xfId="17796" xr:uid="{35019EA4-76EE-4579-9B7D-B9C3FFF34310}"/>
    <cellStyle name="Normal 14 5 2 3" xfId="13579" xr:uid="{1B085758-9F44-4644-AD05-EDB1DECE551C}"/>
    <cellStyle name="Normal 14 5 3" xfId="6325" xr:uid="{00000000-0005-0000-0000-00007C0E0000}"/>
    <cellStyle name="Normal 14 5 3 2" xfId="15651" xr:uid="{43875D38-4002-43DF-BD41-ECA6DD026527}"/>
    <cellStyle name="Normal 14 5 4" xfId="11434" xr:uid="{D87E90F1-1918-404D-BD4C-78F4D0EB96E7}"/>
    <cellStyle name="Normal 14 6" xfId="2455" xr:uid="{00000000-0005-0000-0000-00007D0E0000}"/>
    <cellStyle name="Normal 14 6 2" xfId="6738" xr:uid="{00000000-0005-0000-0000-00007E0E0000}"/>
    <cellStyle name="Normal 14 6 2 2" xfId="16064" xr:uid="{539194C2-0B1D-4CFC-841B-5450DAFB69D6}"/>
    <cellStyle name="Normal 14 6 3" xfId="11847" xr:uid="{04E9FDCD-AA5D-4D17-8380-464A5BCD1801}"/>
    <cellStyle name="Normal 14 7" xfId="4672" xr:uid="{00000000-0005-0000-0000-00007F0E0000}"/>
    <cellStyle name="Normal 14 7 2" xfId="13998" xr:uid="{C08B1CF2-0AEF-4890-92CA-023CE2A9B3AD}"/>
    <cellStyle name="Normal 14 8" xfId="8946" xr:uid="{DD997A1C-6669-41AA-8AC1-78121AFC796C}"/>
    <cellStyle name="Normal 14 9" xfId="9781" xr:uid="{E00E6735-FD99-4F31-8B3A-21318BB7FE69}"/>
    <cellStyle name="Normal 15" xfId="4496" xr:uid="{00000000-0005-0000-0000-0000800E0000}"/>
    <cellStyle name="Normal 15 2" xfId="9578" xr:uid="{99513E76-E7E2-49D8-ADC5-F882C61FFC79}"/>
    <cellStyle name="Normal 15 3" xfId="9155" xr:uid="{47700DD8-A88A-4CB4-BFAD-BA75A2D4FC8E}"/>
    <cellStyle name="Normal 15 4" xfId="13824" xr:uid="{DF22F9F6-C187-494A-A82F-4508FB3A3D84}"/>
    <cellStyle name="Normal 16" xfId="4500" xr:uid="{00000000-0005-0000-0000-0000810E0000}"/>
    <cellStyle name="Normal 16 2" xfId="8715" xr:uid="{00000000-0005-0000-0000-0000820E0000}"/>
    <cellStyle name="Normal 16 2 2" xfId="18041" xr:uid="{D98A38DF-A3EB-4FDA-9AFE-68993B7123DB}"/>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44D16FD5-1A9D-4B40-AAE4-DD278EE0BD50}"/>
    <cellStyle name="Normal 16 3 2 2 2 3" xfId="18054" xr:uid="{4F0B3F7F-948C-4147-90F1-0D8D33163064}"/>
    <cellStyle name="Normal 16 3 2 2 3" xfId="18050" xr:uid="{FFCF5171-7E6D-4FAC-B628-4F50B0A94F07}"/>
    <cellStyle name="Normal 16 3 2 3" xfId="18047" xr:uid="{1EFCFCC0-7118-44B3-95DB-AA6BC0B3D470}"/>
    <cellStyle name="Normal 16 3 3" xfId="18044" xr:uid="{F2324E25-AFF9-4E13-ABF1-9FF935E4BF35}"/>
    <cellStyle name="Normal 16 4" xfId="9612" xr:uid="{8729F6E8-3534-4DAE-B0B2-B2AF3CDCD313}"/>
    <cellStyle name="Normal 16 5" xfId="13827" xr:uid="{4621927C-BA98-4B3E-9EB8-7546CFED4EAF}"/>
    <cellStyle name="Normal 17" xfId="8728" xr:uid="{3FF0972C-833B-4475-99D8-1A6907499E71}"/>
    <cellStyle name="Normal 17 2" xfId="9157" xr:uid="{6C872296-5E17-4821-9139-E52AD113B06C}"/>
    <cellStyle name="Normal 17 3" xfId="9154" xr:uid="{DC3FF210-EC1F-47CE-8CCE-F8F5460671B1}"/>
    <cellStyle name="Normal 17 4" xfId="18053" xr:uid="{1F239E38-8859-4D83-8EBF-84548BA90FF7}"/>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FB8FB625-CE90-4D8C-A59D-88A97C9BE25C}"/>
    <cellStyle name="Normal 2 4 2 10 2 3" xfId="13580" xr:uid="{7081AF24-AD90-4882-867C-851C347DA1AA}"/>
    <cellStyle name="Normal 2 4 2 10 3" xfId="6326" xr:uid="{00000000-0005-0000-0000-0000910E0000}"/>
    <cellStyle name="Normal 2 4 2 10 3 2" xfId="15652" xr:uid="{035D0D03-11AE-49CC-91D6-1E2C09C00057}"/>
    <cellStyle name="Normal 2 4 2 10 4" xfId="11435" xr:uid="{A244B637-21C3-4E21-B21E-1143E8AFD902}"/>
    <cellStyle name="Normal 2 4 2 11" xfId="2456" xr:uid="{00000000-0005-0000-0000-0000920E0000}"/>
    <cellStyle name="Normal 2 4 2 11 2" xfId="6739" xr:uid="{00000000-0005-0000-0000-0000930E0000}"/>
    <cellStyle name="Normal 2 4 2 11 2 2" xfId="16065" xr:uid="{A070ABE5-A4A1-4B26-9168-F0FAE00015DE}"/>
    <cellStyle name="Normal 2 4 2 11 3" xfId="11848" xr:uid="{DF4C8B16-1F4F-4A7A-ADBE-5F23B20AD59D}"/>
    <cellStyle name="Normal 2 4 2 12" xfId="4673" xr:uid="{00000000-0005-0000-0000-0000940E0000}"/>
    <cellStyle name="Normal 2 4 2 12 2" xfId="13999" xr:uid="{469549C1-9B11-4B48-859E-5713CEABDF38}"/>
    <cellStyle name="Normal 2 4 2 13" xfId="8757" xr:uid="{563A76DD-F7DD-49F0-A61E-0419F4C31301}"/>
    <cellStyle name="Normal 2 4 2 14" xfId="9782" xr:uid="{3435F07A-B16F-4FA3-8EE6-BD68C00D8D30}"/>
    <cellStyle name="Normal 2 4 2 2" xfId="280" xr:uid="{00000000-0005-0000-0000-0000950E0000}"/>
    <cellStyle name="Normal 2 4 2 3" xfId="281" xr:uid="{00000000-0005-0000-0000-0000960E0000}"/>
    <cellStyle name="Normal 2 4 2 3 10" xfId="4674" xr:uid="{00000000-0005-0000-0000-0000970E0000}"/>
    <cellStyle name="Normal 2 4 2 3 10 2" xfId="14000" xr:uid="{DF2A54B8-B710-4E0A-B722-8BE02F9C5FD2}"/>
    <cellStyle name="Normal 2 4 2 3 11" xfId="8788" xr:uid="{EAD3D227-C8EF-4F54-8D24-EE1EA1F017BB}"/>
    <cellStyle name="Normal 2 4 2 3 12" xfId="9783" xr:uid="{0BB72C6C-455B-4C7C-AF53-C8AD187AC3ED}"/>
    <cellStyle name="Normal 2 4 2 3 2" xfId="282" xr:uid="{00000000-0005-0000-0000-0000980E0000}"/>
    <cellStyle name="Normal 2 4 2 3 2 10" xfId="8813" xr:uid="{C03AE35D-2438-4E07-AE9C-6D04EC6DA2B7}"/>
    <cellStyle name="Normal 2 4 2 3 2 11" xfId="9784" xr:uid="{E3E501C3-E7F1-4674-A758-49837B3BA856}"/>
    <cellStyle name="Normal 2 4 2 3 2 2" xfId="283" xr:uid="{00000000-0005-0000-0000-0000990E0000}"/>
    <cellStyle name="Normal 2 4 2 3 2 2 10" xfId="9785" xr:uid="{F8DC84A2-291B-4DF8-805C-CCA5D95F4F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E6C53387-9935-41DB-BF5C-850A5A46F97D}"/>
    <cellStyle name="Normal 2 4 2 3 2 2 2 2 2 3" xfId="12345" xr:uid="{FB3B26AE-1150-40A2-BF60-A4C57267CF5D}"/>
    <cellStyle name="Normal 2 4 2 3 2 2 2 2 3" xfId="5091" xr:uid="{00000000-0005-0000-0000-00009E0E0000}"/>
    <cellStyle name="Normal 2 4 2 3 2 2 2 2 3 2" xfId="14417" xr:uid="{6F07A0F4-4EC5-43A4-A896-A68F390B718D}"/>
    <cellStyle name="Normal 2 4 2 3 2 2 2 2 4" xfId="9548" xr:uid="{29E7289E-B3F4-4F63-9B9C-B531B0E50CEB}"/>
    <cellStyle name="Normal 2 4 2 3 2 2 2 2 5" xfId="10200" xr:uid="{B1328BA6-CED3-4D28-9B4A-346154C1B1F8}"/>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5383D646-38CF-478B-8BAB-7FF2A37CEF4C}"/>
    <cellStyle name="Normal 2 4 2 3 2 2 2 3 2 3" xfId="12758" xr:uid="{14D550BE-C2D6-4E55-9DF8-E384F8BAB402}"/>
    <cellStyle name="Normal 2 4 2 3 2 2 2 3 3" xfId="5504" xr:uid="{00000000-0005-0000-0000-0000A20E0000}"/>
    <cellStyle name="Normal 2 4 2 3 2 2 2 3 3 2" xfId="14830" xr:uid="{D92B929C-046D-4018-90D9-A40850C9DBEC}"/>
    <cellStyle name="Normal 2 4 2 3 2 2 2 3 4" xfId="10613" xr:uid="{4D1EFD76-D7A2-42F2-A110-9271CD0069E8}"/>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0C5A313A-E1C6-4D74-B8CC-92FA5C75B2BD}"/>
    <cellStyle name="Normal 2 4 2 3 2 2 2 4 2 3" xfId="13171" xr:uid="{3894BD7C-9787-4F84-B9A2-14C209C5F5F6}"/>
    <cellStyle name="Normal 2 4 2 3 2 2 2 4 3" xfId="5917" xr:uid="{00000000-0005-0000-0000-0000A60E0000}"/>
    <cellStyle name="Normal 2 4 2 3 2 2 2 4 3 2" xfId="15243" xr:uid="{5F12315C-811B-4DF9-9B23-0EB3A5CAF09F}"/>
    <cellStyle name="Normal 2 4 2 3 2 2 2 4 4" xfId="11026" xr:uid="{AC430C9E-9B1E-4F6A-AECE-1FB17136ADA1}"/>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861A3416-3740-4DEA-8DAB-2A589E001CC7}"/>
    <cellStyle name="Normal 2 4 2 3 2 2 2 5 2 3" xfId="13584" xr:uid="{5977B5A1-18A3-4E75-AC24-9D7331ED442C}"/>
    <cellStyle name="Normal 2 4 2 3 2 2 2 5 3" xfId="6330" xr:uid="{00000000-0005-0000-0000-0000AA0E0000}"/>
    <cellStyle name="Normal 2 4 2 3 2 2 2 5 3 2" xfId="15656" xr:uid="{89174E49-232E-4B7A-BFDA-BA50B6B35944}"/>
    <cellStyle name="Normal 2 4 2 3 2 2 2 5 4" xfId="11439" xr:uid="{31D45CCD-3EF3-4A58-BACB-B1ED46557509}"/>
    <cellStyle name="Normal 2 4 2 3 2 2 2 6" xfId="2460" xr:uid="{00000000-0005-0000-0000-0000AB0E0000}"/>
    <cellStyle name="Normal 2 4 2 3 2 2 2 6 2" xfId="6743" xr:uid="{00000000-0005-0000-0000-0000AC0E0000}"/>
    <cellStyle name="Normal 2 4 2 3 2 2 2 6 2 2" xfId="16069" xr:uid="{DCD570ED-A41C-4EB4-A58D-18BFB8030E3C}"/>
    <cellStyle name="Normal 2 4 2 3 2 2 2 6 3" xfId="11852" xr:uid="{B2A61B86-5E73-44C7-9460-CA05CA92FFD7}"/>
    <cellStyle name="Normal 2 4 2 3 2 2 2 7" xfId="4677" xr:uid="{00000000-0005-0000-0000-0000AD0E0000}"/>
    <cellStyle name="Normal 2 4 2 3 2 2 2 7 2" xfId="14003" xr:uid="{BD506593-C1C7-4AD4-A8E5-F58FCE50BB5D}"/>
    <cellStyle name="Normal 2 4 2 3 2 2 2 8" xfId="9123" xr:uid="{9F0183A9-880D-46D9-BB7D-5696E4723F5F}"/>
    <cellStyle name="Normal 2 4 2 3 2 2 2 9" xfId="9786" xr:uid="{E8E99BC4-58C9-4C05-A437-8A98F6C8E668}"/>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89E259CC-68BC-41C9-B636-9866D71DA54B}"/>
    <cellStyle name="Normal 2 4 2 3 2 2 3 2 3" xfId="12344" xr:uid="{F7222777-AC2D-4CB5-9776-4A65172C7EE1}"/>
    <cellStyle name="Normal 2 4 2 3 2 2 3 3" xfId="5090" xr:uid="{00000000-0005-0000-0000-0000B10E0000}"/>
    <cellStyle name="Normal 2 4 2 3 2 2 3 3 2" xfId="14416" xr:uid="{29D7B4CC-5C04-485B-9214-E8C2912CA2CE}"/>
    <cellStyle name="Normal 2 4 2 3 2 2 3 4" xfId="9341" xr:uid="{4F113FF5-050D-47D1-A7D5-F829C93D993D}"/>
    <cellStyle name="Normal 2 4 2 3 2 2 3 5" xfId="10199" xr:uid="{87F53413-F202-4FAF-AB59-4D3812BECA02}"/>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B959ED66-9FCE-4D20-AB8F-CB73B0F28B97}"/>
    <cellStyle name="Normal 2 4 2 3 2 2 4 2 3" xfId="12757" xr:uid="{FB67A672-C9AC-44DB-AB9C-1626C50BFBF8}"/>
    <cellStyle name="Normal 2 4 2 3 2 2 4 3" xfId="5503" xr:uid="{00000000-0005-0000-0000-0000B50E0000}"/>
    <cellStyle name="Normal 2 4 2 3 2 2 4 3 2" xfId="14829" xr:uid="{C372A4DA-12D7-4227-A8F9-1D9D22B96586}"/>
    <cellStyle name="Normal 2 4 2 3 2 2 4 4" xfId="10612" xr:uid="{21371BFE-AF2F-4E3B-B09A-4BE76DF4B19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FFFA1505-61BF-4C9E-BAB3-9AEFF655D6A8}"/>
    <cellStyle name="Normal 2 4 2 3 2 2 5 2 3" xfId="13170" xr:uid="{B1CD9CB9-77F0-4162-8EB9-2C9475DE465E}"/>
    <cellStyle name="Normal 2 4 2 3 2 2 5 3" xfId="5916" xr:uid="{00000000-0005-0000-0000-0000B90E0000}"/>
    <cellStyle name="Normal 2 4 2 3 2 2 5 3 2" xfId="15242" xr:uid="{57C774E1-BBF0-4538-8CC5-15759F3858DB}"/>
    <cellStyle name="Normal 2 4 2 3 2 2 5 4" xfId="11025" xr:uid="{3130FA63-13F1-4915-B0FC-3EE9BAE0F5F2}"/>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FF8B5708-B5F4-4DAA-9BB8-2C66FBF6DF9E}"/>
    <cellStyle name="Normal 2 4 2 3 2 2 6 2 3" xfId="13583" xr:uid="{DC470934-214B-4686-A748-E58FD871661F}"/>
    <cellStyle name="Normal 2 4 2 3 2 2 6 3" xfId="6329" xr:uid="{00000000-0005-0000-0000-0000BD0E0000}"/>
    <cellStyle name="Normal 2 4 2 3 2 2 6 3 2" xfId="15655" xr:uid="{16B7805F-B943-4C49-8386-FE5EEFE864AF}"/>
    <cellStyle name="Normal 2 4 2 3 2 2 6 4" xfId="11438" xr:uid="{584B5B64-6C87-4323-A4A3-2E55257C58E0}"/>
    <cellStyle name="Normal 2 4 2 3 2 2 7" xfId="2459" xr:uid="{00000000-0005-0000-0000-0000BE0E0000}"/>
    <cellStyle name="Normal 2 4 2 3 2 2 7 2" xfId="6742" xr:uid="{00000000-0005-0000-0000-0000BF0E0000}"/>
    <cellStyle name="Normal 2 4 2 3 2 2 7 2 2" xfId="16068" xr:uid="{D21FBCD0-FBF1-4328-AB25-4AE4221433B4}"/>
    <cellStyle name="Normal 2 4 2 3 2 2 7 3" xfId="11851" xr:uid="{0C37DA84-DDB1-4B8F-9338-42C20E6A79FD}"/>
    <cellStyle name="Normal 2 4 2 3 2 2 8" xfId="4676" xr:uid="{00000000-0005-0000-0000-0000C00E0000}"/>
    <cellStyle name="Normal 2 4 2 3 2 2 8 2" xfId="14002" xr:uid="{3048A8D3-1DBD-4E4E-B187-4F58B47CBB94}"/>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BFC62A54-1598-4D0C-821A-67C152414621}"/>
    <cellStyle name="Normal 2 4 2 3 2 3 2 2 3" xfId="12346" xr:uid="{4341832A-E134-4BD3-874E-FEFDFA434E86}"/>
    <cellStyle name="Normal 2 4 2 3 2 3 2 3" xfId="5092" xr:uid="{00000000-0005-0000-0000-0000C50E0000}"/>
    <cellStyle name="Normal 2 4 2 3 2 3 2 3 2" xfId="14418" xr:uid="{A6AC805C-2315-486C-AA0B-D7F85B0387F6}"/>
    <cellStyle name="Normal 2 4 2 3 2 3 2 4" xfId="9445" xr:uid="{67F9E33C-8554-469D-8D7A-1147F632F3B0}"/>
    <cellStyle name="Normal 2 4 2 3 2 3 2 5" xfId="10201" xr:uid="{E6DE8916-609D-4519-A297-6E61CDEA2066}"/>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BD7E9AA6-662F-457B-A713-B5783ECA080B}"/>
    <cellStyle name="Normal 2 4 2 3 2 3 3 2 3" xfId="12759" xr:uid="{72071E4C-C882-46CF-ABAD-168F3F445B61}"/>
    <cellStyle name="Normal 2 4 2 3 2 3 3 3" xfId="5505" xr:uid="{00000000-0005-0000-0000-0000C90E0000}"/>
    <cellStyle name="Normal 2 4 2 3 2 3 3 3 2" xfId="14831" xr:uid="{044DB532-E99E-4CCE-BD61-A14820E72AF4}"/>
    <cellStyle name="Normal 2 4 2 3 2 3 3 4" xfId="10614" xr:uid="{CCE4F577-BDB7-4EA0-9984-79114E1B1D67}"/>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8FB21A6A-572A-4D79-9E78-0A8ABD878519}"/>
    <cellStyle name="Normal 2 4 2 3 2 3 4 2 3" xfId="13172" xr:uid="{FC227DFC-901D-471F-BFE9-7D8F13C330B4}"/>
    <cellStyle name="Normal 2 4 2 3 2 3 4 3" xfId="5918" xr:uid="{00000000-0005-0000-0000-0000CD0E0000}"/>
    <cellStyle name="Normal 2 4 2 3 2 3 4 3 2" xfId="15244" xr:uid="{AB56522C-54F6-4695-BC7D-482E5E53A2EC}"/>
    <cellStyle name="Normal 2 4 2 3 2 3 4 4" xfId="11027" xr:uid="{52110BA6-7348-4EEF-BFEC-FC4F1EAB765B}"/>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C5014234-C4B0-4BF4-A107-6C433F57AE7B}"/>
    <cellStyle name="Normal 2 4 2 3 2 3 5 2 3" xfId="13585" xr:uid="{8229A73D-EE9E-4D43-AA83-51D1C051227F}"/>
    <cellStyle name="Normal 2 4 2 3 2 3 5 3" xfId="6331" xr:uid="{00000000-0005-0000-0000-0000D10E0000}"/>
    <cellStyle name="Normal 2 4 2 3 2 3 5 3 2" xfId="15657" xr:uid="{7AD54156-1CD4-417F-8744-81316E37D05A}"/>
    <cellStyle name="Normal 2 4 2 3 2 3 5 4" xfId="11440" xr:uid="{817FDD9D-8E8D-4EF7-A4B2-7941FA3B9C5D}"/>
    <cellStyle name="Normal 2 4 2 3 2 3 6" xfId="2461" xr:uid="{00000000-0005-0000-0000-0000D20E0000}"/>
    <cellStyle name="Normal 2 4 2 3 2 3 6 2" xfId="6744" xr:uid="{00000000-0005-0000-0000-0000D30E0000}"/>
    <cellStyle name="Normal 2 4 2 3 2 3 6 2 2" xfId="16070" xr:uid="{08129F95-2F98-4B82-94E4-AB68E6ADD96E}"/>
    <cellStyle name="Normal 2 4 2 3 2 3 6 3" xfId="11853" xr:uid="{E2CDBC6B-383B-41C8-A85A-6BFD8C8156DE}"/>
    <cellStyle name="Normal 2 4 2 3 2 3 7" xfId="4678" xr:uid="{00000000-0005-0000-0000-0000D40E0000}"/>
    <cellStyle name="Normal 2 4 2 3 2 3 7 2" xfId="14004" xr:uid="{E2B19A86-B7CF-41C3-9143-5DE9412FF8A2}"/>
    <cellStyle name="Normal 2 4 2 3 2 3 8" xfId="9020" xr:uid="{5718F785-8E2C-4B45-91D1-4597173D90A6}"/>
    <cellStyle name="Normal 2 4 2 3 2 3 9" xfId="9787" xr:uid="{3DDC2BF1-97AE-4434-A1CB-9AED2A828A6F}"/>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0E9D3681-4C04-4777-9A24-1FD1650E0C08}"/>
    <cellStyle name="Normal 2 4 2 3 2 4 2 3" xfId="12343" xr:uid="{F76B46AE-6C26-4030-98EC-420B11F9C957}"/>
    <cellStyle name="Normal 2 4 2 3 2 4 3" xfId="5089" xr:uid="{00000000-0005-0000-0000-0000D80E0000}"/>
    <cellStyle name="Normal 2 4 2 3 2 4 3 2" xfId="14415" xr:uid="{CA0D952E-5D99-426C-8C07-21EE42C42277}"/>
    <cellStyle name="Normal 2 4 2 3 2 4 4" xfId="9238" xr:uid="{BC6E5A3D-C256-46E9-A109-D643C24AA206}"/>
    <cellStyle name="Normal 2 4 2 3 2 4 5" xfId="10198" xr:uid="{9584EC36-4B34-4EB2-AC7E-0518CF2CB653}"/>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8A1B88C5-2675-4292-BEDF-12A4F108B706}"/>
    <cellStyle name="Normal 2 4 2 3 2 5 2 3" xfId="12756" xr:uid="{9011C263-46C9-4DBF-AA17-D5D0C19CB003}"/>
    <cellStyle name="Normal 2 4 2 3 2 5 3" xfId="5502" xr:uid="{00000000-0005-0000-0000-0000DC0E0000}"/>
    <cellStyle name="Normal 2 4 2 3 2 5 3 2" xfId="14828" xr:uid="{890CD5E0-CD60-48BE-A71B-8D1ADB366A90}"/>
    <cellStyle name="Normal 2 4 2 3 2 5 4" xfId="10611" xr:uid="{7AE8B32B-0013-4C77-BE3F-7D939AC5EF15}"/>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6C492444-CEE0-46A9-9E01-4F6DA158607E}"/>
    <cellStyle name="Normal 2 4 2 3 2 6 2 3" xfId="13169" xr:uid="{E1B98EDE-6283-4F36-A446-85733EABE40C}"/>
    <cellStyle name="Normal 2 4 2 3 2 6 3" xfId="5915" xr:uid="{00000000-0005-0000-0000-0000E00E0000}"/>
    <cellStyle name="Normal 2 4 2 3 2 6 3 2" xfId="15241" xr:uid="{97D53093-3BA4-4AA8-B2D7-C6E1551C3678}"/>
    <cellStyle name="Normal 2 4 2 3 2 6 4" xfId="11024" xr:uid="{84CC7808-979D-4DD9-8F4A-AAF167C86A45}"/>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30A3B194-D61C-4416-9F47-A911AB89E6AC}"/>
    <cellStyle name="Normal 2 4 2 3 2 7 2 3" xfId="13582" xr:uid="{5871224B-5F54-49B2-B822-150BF82AB4A5}"/>
    <cellStyle name="Normal 2 4 2 3 2 7 3" xfId="6328" xr:uid="{00000000-0005-0000-0000-0000E40E0000}"/>
    <cellStyle name="Normal 2 4 2 3 2 7 3 2" xfId="15654" xr:uid="{4DA6A335-AABE-46EA-B90E-5F679EDDA4A0}"/>
    <cellStyle name="Normal 2 4 2 3 2 7 4" xfId="11437" xr:uid="{D502F6D5-2238-48F9-94F3-DE60E49C1044}"/>
    <cellStyle name="Normal 2 4 2 3 2 8" xfId="2458" xr:uid="{00000000-0005-0000-0000-0000E50E0000}"/>
    <cellStyle name="Normal 2 4 2 3 2 8 2" xfId="6741" xr:uid="{00000000-0005-0000-0000-0000E60E0000}"/>
    <cellStyle name="Normal 2 4 2 3 2 8 2 2" xfId="16067" xr:uid="{33D28D06-4A8C-4217-A0FD-1C47A059D5CB}"/>
    <cellStyle name="Normal 2 4 2 3 2 8 3" xfId="11850" xr:uid="{27F52C16-48B4-4B59-B4BD-2AC286C334BC}"/>
    <cellStyle name="Normal 2 4 2 3 2 9" xfId="4675" xr:uid="{00000000-0005-0000-0000-0000E70E0000}"/>
    <cellStyle name="Normal 2 4 2 3 2 9 2" xfId="14001" xr:uid="{9389E7ED-7F11-4373-844F-6F4002896BB8}"/>
    <cellStyle name="Normal 2 4 2 3 3" xfId="286" xr:uid="{00000000-0005-0000-0000-0000E80E0000}"/>
    <cellStyle name="Normal 2 4 2 3 3 10" xfId="9788" xr:uid="{3D5ED8FE-0233-4A5A-B37D-E029C8FC9AC2}"/>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FFCB9028-78FA-4F48-8F81-1D39017FE444}"/>
    <cellStyle name="Normal 2 4 2 3 3 2 2 2 3" xfId="12348" xr:uid="{42732A79-4A48-4C6A-80F2-7091929D2AA3}"/>
    <cellStyle name="Normal 2 4 2 3 3 2 2 3" xfId="5094" xr:uid="{00000000-0005-0000-0000-0000ED0E0000}"/>
    <cellStyle name="Normal 2 4 2 3 3 2 2 3 2" xfId="14420" xr:uid="{02402834-F6D3-4A2B-A2DC-13082198A862}"/>
    <cellStyle name="Normal 2 4 2 3 3 2 2 4" xfId="9523" xr:uid="{49BCB42B-3FEB-4D87-8E20-52FE775F87DD}"/>
    <cellStyle name="Normal 2 4 2 3 3 2 2 5" xfId="10203" xr:uid="{86C7D298-5437-477B-A689-425CB92D0DAC}"/>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1EAB797C-3A2F-448B-B581-DCD9E7C9DE65}"/>
    <cellStyle name="Normal 2 4 2 3 3 2 3 2 3" xfId="12761" xr:uid="{9F1A8C55-8847-41CC-A95E-3A52ACC25ED6}"/>
    <cellStyle name="Normal 2 4 2 3 3 2 3 3" xfId="5507" xr:uid="{00000000-0005-0000-0000-0000F10E0000}"/>
    <cellStyle name="Normal 2 4 2 3 3 2 3 3 2" xfId="14833" xr:uid="{C8826D8B-4CF3-4FC5-ADD7-4C068FC0F40F}"/>
    <cellStyle name="Normal 2 4 2 3 3 2 3 4" xfId="10616" xr:uid="{C23915B6-98BF-4143-AB0F-D56DCE8B0CD4}"/>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DF9D5CC5-E1E0-4A50-B8EA-9815CE6D4E2E}"/>
    <cellStyle name="Normal 2 4 2 3 3 2 4 2 3" xfId="13174" xr:uid="{21313C1B-F9AF-4360-985E-977CF9F7A38E}"/>
    <cellStyle name="Normal 2 4 2 3 3 2 4 3" xfId="5920" xr:uid="{00000000-0005-0000-0000-0000F50E0000}"/>
    <cellStyle name="Normal 2 4 2 3 3 2 4 3 2" xfId="15246" xr:uid="{2AF226BA-A679-473A-85E8-ACA7324D027D}"/>
    <cellStyle name="Normal 2 4 2 3 3 2 4 4" xfId="11029" xr:uid="{FF7DBDFC-5345-437A-BA1B-1C801DF4B241}"/>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554FFF79-6B8E-492E-AD39-708262BBA95B}"/>
    <cellStyle name="Normal 2 4 2 3 3 2 5 2 3" xfId="13587" xr:uid="{3E6075BF-3EC1-458E-A6A8-FE8ED7993F37}"/>
    <cellStyle name="Normal 2 4 2 3 3 2 5 3" xfId="6333" xr:uid="{00000000-0005-0000-0000-0000F90E0000}"/>
    <cellStyle name="Normal 2 4 2 3 3 2 5 3 2" xfId="15659" xr:uid="{1058BE56-2DC0-4A17-9308-EBA0D339E289}"/>
    <cellStyle name="Normal 2 4 2 3 3 2 5 4" xfId="11442" xr:uid="{15A7AB51-D6BD-47E9-98C9-F141A4FDDAEF}"/>
    <cellStyle name="Normal 2 4 2 3 3 2 6" xfId="2463" xr:uid="{00000000-0005-0000-0000-0000FA0E0000}"/>
    <cellStyle name="Normal 2 4 2 3 3 2 6 2" xfId="6746" xr:uid="{00000000-0005-0000-0000-0000FB0E0000}"/>
    <cellStyle name="Normal 2 4 2 3 3 2 6 2 2" xfId="16072" xr:uid="{0F8F1965-14DA-40E1-B001-03F2142E9ADD}"/>
    <cellStyle name="Normal 2 4 2 3 3 2 6 3" xfId="11855" xr:uid="{00D14802-F6C2-4F70-BFAD-407DFF2F097E}"/>
    <cellStyle name="Normal 2 4 2 3 3 2 7" xfId="4680" xr:uid="{00000000-0005-0000-0000-0000FC0E0000}"/>
    <cellStyle name="Normal 2 4 2 3 3 2 7 2" xfId="14006" xr:uid="{2D2BA653-4E7A-4101-8E1D-3FF752A9EDAD}"/>
    <cellStyle name="Normal 2 4 2 3 3 2 8" xfId="9098" xr:uid="{15335B31-FFDD-479D-88EC-FAB83DC4E6EC}"/>
    <cellStyle name="Normal 2 4 2 3 3 2 9" xfId="9789" xr:uid="{01131329-F307-4C88-9B8C-09474EB4C055}"/>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04794AC4-5C30-4EE0-A3D1-BF934510D508}"/>
    <cellStyle name="Normal 2 4 2 3 3 3 2 3" xfId="12347" xr:uid="{3DDCF53F-B5DB-45FD-8978-116E8B090C2C}"/>
    <cellStyle name="Normal 2 4 2 3 3 3 3" xfId="5093" xr:uid="{00000000-0005-0000-0000-0000000F0000}"/>
    <cellStyle name="Normal 2 4 2 3 3 3 3 2" xfId="14419" xr:uid="{D72A7305-678C-4632-A228-63F5D6879A58}"/>
    <cellStyle name="Normal 2 4 2 3 3 3 4" xfId="9316" xr:uid="{C8C83D09-5A3A-4C90-8A04-9D7CD8C85B11}"/>
    <cellStyle name="Normal 2 4 2 3 3 3 5" xfId="10202" xr:uid="{FD4B7071-6D85-4B48-94E0-34C7662685FF}"/>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1F71E119-5F05-445A-AAD8-BE9820EB74B7}"/>
    <cellStyle name="Normal 2 4 2 3 3 4 2 3" xfId="12760" xr:uid="{BBE30AD5-1E10-4AB3-8342-AE003D24B21A}"/>
    <cellStyle name="Normal 2 4 2 3 3 4 3" xfId="5506" xr:uid="{00000000-0005-0000-0000-0000040F0000}"/>
    <cellStyle name="Normal 2 4 2 3 3 4 3 2" xfId="14832" xr:uid="{3A699753-1896-4736-BF78-54FE659C4404}"/>
    <cellStyle name="Normal 2 4 2 3 3 4 4" xfId="10615" xr:uid="{9A5A4B63-885F-40B8-9CBF-CCB272432459}"/>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8027603C-660B-4654-89C3-679EA17A0F3D}"/>
    <cellStyle name="Normal 2 4 2 3 3 5 2 3" xfId="13173" xr:uid="{ADCAC89A-BAC5-4297-8BB9-28F1F68ABADE}"/>
    <cellStyle name="Normal 2 4 2 3 3 5 3" xfId="5919" xr:uid="{00000000-0005-0000-0000-0000080F0000}"/>
    <cellStyle name="Normal 2 4 2 3 3 5 3 2" xfId="15245" xr:uid="{109C7209-F94F-479C-A650-CACC5C877976}"/>
    <cellStyle name="Normal 2 4 2 3 3 5 4" xfId="11028" xr:uid="{DA1017B5-955D-40F3-BBA0-EF370E90C6B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0720D608-FC39-4222-816D-CD83C3DC402D}"/>
    <cellStyle name="Normal 2 4 2 3 3 6 2 3" xfId="13586" xr:uid="{B16CDC69-545F-4C2F-A882-99096F124DD4}"/>
    <cellStyle name="Normal 2 4 2 3 3 6 3" xfId="6332" xr:uid="{00000000-0005-0000-0000-00000C0F0000}"/>
    <cellStyle name="Normal 2 4 2 3 3 6 3 2" xfId="15658" xr:uid="{F0468C82-C763-4741-A224-E9D74B17F2E7}"/>
    <cellStyle name="Normal 2 4 2 3 3 6 4" xfId="11441" xr:uid="{9113DC13-41DA-46AC-B620-ADA80E0142A0}"/>
    <cellStyle name="Normal 2 4 2 3 3 7" xfId="2462" xr:uid="{00000000-0005-0000-0000-00000D0F0000}"/>
    <cellStyle name="Normal 2 4 2 3 3 7 2" xfId="6745" xr:uid="{00000000-0005-0000-0000-00000E0F0000}"/>
    <cellStyle name="Normal 2 4 2 3 3 7 2 2" xfId="16071" xr:uid="{3514925E-32B5-4F20-97C2-C55F0CA1AF8D}"/>
    <cellStyle name="Normal 2 4 2 3 3 7 3" xfId="11854" xr:uid="{A850C803-9EEA-40C1-B342-F5E474E9F450}"/>
    <cellStyle name="Normal 2 4 2 3 3 8" xfId="4679" xr:uid="{00000000-0005-0000-0000-00000F0F0000}"/>
    <cellStyle name="Normal 2 4 2 3 3 8 2" xfId="14005" xr:uid="{3E64AD04-A068-41B6-B169-143D1FB0DA2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238F3BB6-DAF3-45D3-BE91-A9E858074902}"/>
    <cellStyle name="Normal 2 4 2 3 4 2 2 3" xfId="12349" xr:uid="{3D65D3C8-ECEE-49FB-B6B0-748F25C4BC5D}"/>
    <cellStyle name="Normal 2 4 2 3 4 2 3" xfId="5095" xr:uid="{00000000-0005-0000-0000-0000140F0000}"/>
    <cellStyle name="Normal 2 4 2 3 4 2 3 2" xfId="14421" xr:uid="{BA2F1DCD-4B61-412E-999A-66F35DD49D74}"/>
    <cellStyle name="Normal 2 4 2 3 4 2 4" xfId="9420" xr:uid="{49E252B3-99BC-416A-A0CB-FE2641ECFDE3}"/>
    <cellStyle name="Normal 2 4 2 3 4 2 5" xfId="10204" xr:uid="{14C8A084-F750-4934-AF6D-4AF95F50A265}"/>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9D33D4F8-1E99-4E8A-9706-DBED8A00F374}"/>
    <cellStyle name="Normal 2 4 2 3 4 3 2 3" xfId="12762" xr:uid="{60486923-BEE4-4351-8D56-1D9DD1251FB0}"/>
    <cellStyle name="Normal 2 4 2 3 4 3 3" xfId="5508" xr:uid="{00000000-0005-0000-0000-0000180F0000}"/>
    <cellStyle name="Normal 2 4 2 3 4 3 3 2" xfId="14834" xr:uid="{9F096D64-B04A-482B-8B8D-4F39BAE7E6F5}"/>
    <cellStyle name="Normal 2 4 2 3 4 3 4" xfId="10617" xr:uid="{43B845FA-2299-45F0-A0D1-ABEDD5EF94F6}"/>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715A3645-AEDA-47BF-AE56-AFA070DB6612}"/>
    <cellStyle name="Normal 2 4 2 3 4 4 2 3" xfId="13175" xr:uid="{0D071D9D-791B-4C7C-92B6-F2AD1F89BE2A}"/>
    <cellStyle name="Normal 2 4 2 3 4 4 3" xfId="5921" xr:uid="{00000000-0005-0000-0000-00001C0F0000}"/>
    <cellStyle name="Normal 2 4 2 3 4 4 3 2" xfId="15247" xr:uid="{E89E7A16-35E8-43E6-8464-B4E88D7504F4}"/>
    <cellStyle name="Normal 2 4 2 3 4 4 4" xfId="11030" xr:uid="{5D6535CE-3E2C-42A6-8209-0E5C1C1CB737}"/>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CE2D6A31-2DCC-4B91-912D-9A5DE79F5648}"/>
    <cellStyle name="Normal 2 4 2 3 4 5 2 3" xfId="13588" xr:uid="{33351F87-D38B-4D60-A4EE-F80CC67C7A10}"/>
    <cellStyle name="Normal 2 4 2 3 4 5 3" xfId="6334" xr:uid="{00000000-0005-0000-0000-0000200F0000}"/>
    <cellStyle name="Normal 2 4 2 3 4 5 3 2" xfId="15660" xr:uid="{0AF0712B-389E-4D92-8879-6B372F4DBE58}"/>
    <cellStyle name="Normal 2 4 2 3 4 5 4" xfId="11443" xr:uid="{9423684B-596A-4D6D-814F-E696380361F4}"/>
    <cellStyle name="Normal 2 4 2 3 4 6" xfId="2464" xr:uid="{00000000-0005-0000-0000-0000210F0000}"/>
    <cellStyle name="Normal 2 4 2 3 4 6 2" xfId="6747" xr:uid="{00000000-0005-0000-0000-0000220F0000}"/>
    <cellStyle name="Normal 2 4 2 3 4 6 2 2" xfId="16073" xr:uid="{F07092D1-C97A-4674-851F-3E1131838989}"/>
    <cellStyle name="Normal 2 4 2 3 4 6 3" xfId="11856" xr:uid="{CD321A34-44A3-4F5C-ABDA-1695755FFDD6}"/>
    <cellStyle name="Normal 2 4 2 3 4 7" xfId="4681" xr:uid="{00000000-0005-0000-0000-0000230F0000}"/>
    <cellStyle name="Normal 2 4 2 3 4 7 2" xfId="14007" xr:uid="{A711FED6-71CE-427F-AB8F-E4EEEB895075}"/>
    <cellStyle name="Normal 2 4 2 3 4 8" xfId="8995" xr:uid="{EEE25A27-4C18-4948-8341-FF27707A7A86}"/>
    <cellStyle name="Normal 2 4 2 3 4 9" xfId="9790" xr:uid="{691197F3-C0E2-4020-9B00-4C69F31B664F}"/>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162E232B-B5B2-4018-8995-C592387F5E76}"/>
    <cellStyle name="Normal 2 4 2 3 5 2 3" xfId="12342" xr:uid="{551ABF15-EBE8-4B03-A05B-5737C3429F7B}"/>
    <cellStyle name="Normal 2 4 2 3 5 3" xfId="5088" xr:uid="{00000000-0005-0000-0000-0000270F0000}"/>
    <cellStyle name="Normal 2 4 2 3 5 3 2" xfId="14414" xr:uid="{F8DACA8D-660E-4418-A465-FCB00BF5362E}"/>
    <cellStyle name="Normal 2 4 2 3 5 4" xfId="9212" xr:uid="{39F1BF9F-C79C-4226-B2D8-665EAA6F3686}"/>
    <cellStyle name="Normal 2 4 2 3 5 5" xfId="10197" xr:uid="{E5125873-ED37-47AD-9108-EF51B1DA759B}"/>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E95E7F44-3DF0-49A4-8AD3-EADA481F2EEF}"/>
    <cellStyle name="Normal 2 4 2 3 6 2 3" xfId="12755" xr:uid="{EB1A34EF-7461-49E8-82C8-CD4C674AFD40}"/>
    <cellStyle name="Normal 2 4 2 3 6 3" xfId="5501" xr:uid="{00000000-0005-0000-0000-00002B0F0000}"/>
    <cellStyle name="Normal 2 4 2 3 6 3 2" xfId="14827" xr:uid="{9937073A-215B-4863-828B-A8B529A3F78D}"/>
    <cellStyle name="Normal 2 4 2 3 6 4" xfId="10610" xr:uid="{5A20FD20-2E26-4BA7-A22A-E28FDDDAECBE}"/>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DBD8983C-8A9D-4C15-AA2A-27DDDC6ABF37}"/>
    <cellStyle name="Normal 2 4 2 3 7 2 3" xfId="13168" xr:uid="{B4AABB07-ABEC-40BD-8F21-C2F5D88474DA}"/>
    <cellStyle name="Normal 2 4 2 3 7 3" xfId="5914" xr:uid="{00000000-0005-0000-0000-00002F0F0000}"/>
    <cellStyle name="Normal 2 4 2 3 7 3 2" xfId="15240" xr:uid="{DD8B7B51-E882-4B3A-9737-E5356757E051}"/>
    <cellStyle name="Normal 2 4 2 3 7 4" xfId="11023" xr:uid="{A9671359-5DD1-4D36-A6B9-919AF1A0950A}"/>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34DAFEF5-B74A-4F58-8B6D-29BC106F2906}"/>
    <cellStyle name="Normal 2 4 2 3 8 2 3" xfId="13581" xr:uid="{5E393F91-8720-4E8C-ADB9-C4996294E982}"/>
    <cellStyle name="Normal 2 4 2 3 8 3" xfId="6327" xr:uid="{00000000-0005-0000-0000-0000330F0000}"/>
    <cellStyle name="Normal 2 4 2 3 8 3 2" xfId="15653" xr:uid="{823623F0-D489-44DF-982F-ED35AFAE8522}"/>
    <cellStyle name="Normal 2 4 2 3 8 4" xfId="11436" xr:uid="{1B39126A-1D46-4827-8D6C-5C02B96E9299}"/>
    <cellStyle name="Normal 2 4 2 3 9" xfId="2457" xr:uid="{00000000-0005-0000-0000-0000340F0000}"/>
    <cellStyle name="Normal 2 4 2 3 9 2" xfId="6740" xr:uid="{00000000-0005-0000-0000-0000350F0000}"/>
    <cellStyle name="Normal 2 4 2 3 9 2 2" xfId="16066" xr:uid="{77F0A1B3-6476-44BB-8867-C547F82B09F8}"/>
    <cellStyle name="Normal 2 4 2 3 9 3" xfId="11849" xr:uid="{24B03E75-C6D7-466C-A644-EC5526C9DE19}"/>
    <cellStyle name="Normal 2 4 2 4" xfId="289" xr:uid="{00000000-0005-0000-0000-0000360F0000}"/>
    <cellStyle name="Normal 2 4 2 4 10" xfId="8812" xr:uid="{C2E08BA7-2068-4F74-AFE2-E0AED0B82FE2}"/>
    <cellStyle name="Normal 2 4 2 4 11" xfId="9791" xr:uid="{B53F17DA-5907-4E0E-AE8F-4C3B0421E2D2}"/>
    <cellStyle name="Normal 2 4 2 4 2" xfId="290" xr:uid="{00000000-0005-0000-0000-0000370F0000}"/>
    <cellStyle name="Normal 2 4 2 4 2 10" xfId="9792" xr:uid="{C1855D84-FCDE-44DF-A75B-1293D38E8CD9}"/>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3755AA51-8CE9-4AD2-9166-7CC1DB4DB80A}"/>
    <cellStyle name="Normal 2 4 2 4 2 2 2 2 3" xfId="12352" xr:uid="{A1EB1085-7ADD-4A38-9FA1-E0601837B9BC}"/>
    <cellStyle name="Normal 2 4 2 4 2 2 2 3" xfId="5098" xr:uid="{00000000-0005-0000-0000-00003C0F0000}"/>
    <cellStyle name="Normal 2 4 2 4 2 2 2 3 2" xfId="14424" xr:uid="{CEDDF252-4324-4FAB-858C-F6A373801AA7}"/>
    <cellStyle name="Normal 2 4 2 4 2 2 2 4" xfId="9547" xr:uid="{F8909421-8B16-4168-8B85-A5523C430C3C}"/>
    <cellStyle name="Normal 2 4 2 4 2 2 2 5" xfId="10207" xr:uid="{8CB2CBEA-FB2B-4955-8DF6-8BF02793C6E5}"/>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A31371F3-F5C7-482F-975E-715F1598A922}"/>
    <cellStyle name="Normal 2 4 2 4 2 2 3 2 3" xfId="12765" xr:uid="{7DC41DF8-33BD-4161-A167-20BF87E9E815}"/>
    <cellStyle name="Normal 2 4 2 4 2 2 3 3" xfId="5511" xr:uid="{00000000-0005-0000-0000-0000400F0000}"/>
    <cellStyle name="Normal 2 4 2 4 2 2 3 3 2" xfId="14837" xr:uid="{8B02280E-E924-4C20-AC3A-FD12019A48F3}"/>
    <cellStyle name="Normal 2 4 2 4 2 2 3 4" xfId="10620" xr:uid="{1687A43B-F0AA-40BA-A76D-6C4ADB9557BB}"/>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AD6299D5-EA4B-4CC8-8213-249AAC832C6D}"/>
    <cellStyle name="Normal 2 4 2 4 2 2 4 2 3" xfId="13178" xr:uid="{9E64375A-195A-4B1D-8D1C-46001EF59BAB}"/>
    <cellStyle name="Normal 2 4 2 4 2 2 4 3" xfId="5924" xr:uid="{00000000-0005-0000-0000-0000440F0000}"/>
    <cellStyle name="Normal 2 4 2 4 2 2 4 3 2" xfId="15250" xr:uid="{10258510-2AB9-4BC5-99DC-0A75038CA8DA}"/>
    <cellStyle name="Normal 2 4 2 4 2 2 4 4" xfId="11033" xr:uid="{44D6923B-955D-4C44-8933-4260D3B31509}"/>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622C805F-9A01-4FFD-9982-AB991BAF4446}"/>
    <cellStyle name="Normal 2 4 2 4 2 2 5 2 3" xfId="13591" xr:uid="{8E8AB239-6D6B-40E8-94DD-6A5853BDAB1A}"/>
    <cellStyle name="Normal 2 4 2 4 2 2 5 3" xfId="6337" xr:uid="{00000000-0005-0000-0000-0000480F0000}"/>
    <cellStyle name="Normal 2 4 2 4 2 2 5 3 2" xfId="15663" xr:uid="{A200C77B-AB06-49BF-BEFC-3DCF7403E025}"/>
    <cellStyle name="Normal 2 4 2 4 2 2 5 4" xfId="11446" xr:uid="{3D9D5BC1-11A2-4D36-BBEF-E82281AD7CB0}"/>
    <cellStyle name="Normal 2 4 2 4 2 2 6" xfId="2467" xr:uid="{00000000-0005-0000-0000-0000490F0000}"/>
    <cellStyle name="Normal 2 4 2 4 2 2 6 2" xfId="6750" xr:uid="{00000000-0005-0000-0000-00004A0F0000}"/>
    <cellStyle name="Normal 2 4 2 4 2 2 6 2 2" xfId="16076" xr:uid="{1327E14B-D0FF-42CD-96C5-C1DACFF4CFFB}"/>
    <cellStyle name="Normal 2 4 2 4 2 2 6 3" xfId="11859" xr:uid="{43FFE425-911D-4F26-9262-C444446BD487}"/>
    <cellStyle name="Normal 2 4 2 4 2 2 7" xfId="4684" xr:uid="{00000000-0005-0000-0000-00004B0F0000}"/>
    <cellStyle name="Normal 2 4 2 4 2 2 7 2" xfId="14010" xr:uid="{1ACCCCEC-1E10-4043-AB63-A2EE7357F097}"/>
    <cellStyle name="Normal 2 4 2 4 2 2 8" xfId="9122" xr:uid="{861CB008-611F-4F3F-9D09-5BCA5A4CB255}"/>
    <cellStyle name="Normal 2 4 2 4 2 2 9" xfId="9793" xr:uid="{4E40A6E7-1E6F-4CA6-A8B5-1913842563C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6E7F9AA3-354C-4BDB-BB5C-E82418CBB8D9}"/>
    <cellStyle name="Normal 2 4 2 4 2 3 2 3" xfId="12351" xr:uid="{EBA4CDF5-7387-4592-A9B5-E2D6D2267794}"/>
    <cellStyle name="Normal 2 4 2 4 2 3 3" xfId="5097" xr:uid="{00000000-0005-0000-0000-00004F0F0000}"/>
    <cellStyle name="Normal 2 4 2 4 2 3 3 2" xfId="14423" xr:uid="{DCD783BF-141D-440E-8438-558C246C7F41}"/>
    <cellStyle name="Normal 2 4 2 4 2 3 4" xfId="9340" xr:uid="{2D1F2F91-F6E8-42AC-98D0-B8667E0ECE37}"/>
    <cellStyle name="Normal 2 4 2 4 2 3 5" xfId="10206" xr:uid="{A994726D-778F-4B5A-A7CD-7AA3F178BD23}"/>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2608A07D-DCC4-4009-AF81-56327B5BDC33}"/>
    <cellStyle name="Normal 2 4 2 4 2 4 2 3" xfId="12764" xr:uid="{EB6F123C-8ADF-4AAD-8384-7DEEF8F701DA}"/>
    <cellStyle name="Normal 2 4 2 4 2 4 3" xfId="5510" xr:uid="{00000000-0005-0000-0000-0000530F0000}"/>
    <cellStyle name="Normal 2 4 2 4 2 4 3 2" xfId="14836" xr:uid="{182F1B78-3A62-4ACA-BAB4-FC8B4AD96AE3}"/>
    <cellStyle name="Normal 2 4 2 4 2 4 4" xfId="10619" xr:uid="{93FC42E3-58E2-441E-A44D-EC11A5D8563A}"/>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F68E48F3-1A25-47D2-945C-240D9894BA50}"/>
    <cellStyle name="Normal 2 4 2 4 2 5 2 3" xfId="13177" xr:uid="{043434BF-A120-4D4A-9FDA-CA26C09F04C9}"/>
    <cellStyle name="Normal 2 4 2 4 2 5 3" xfId="5923" xr:uid="{00000000-0005-0000-0000-0000570F0000}"/>
    <cellStyle name="Normal 2 4 2 4 2 5 3 2" xfId="15249" xr:uid="{36F065B3-5585-4365-9DF6-3C4C47CB42D7}"/>
    <cellStyle name="Normal 2 4 2 4 2 5 4" xfId="11032" xr:uid="{8589965A-EB21-42E6-B5D1-21FD189A21B2}"/>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00779440-AD35-4BC1-9E9A-8CB2AE9E688A}"/>
    <cellStyle name="Normal 2 4 2 4 2 6 2 3" xfId="13590" xr:uid="{EA96E960-3203-4848-A40E-2E1B3A444734}"/>
    <cellStyle name="Normal 2 4 2 4 2 6 3" xfId="6336" xr:uid="{00000000-0005-0000-0000-00005B0F0000}"/>
    <cellStyle name="Normal 2 4 2 4 2 6 3 2" xfId="15662" xr:uid="{435B0C92-B17C-41B0-9A55-289EB2659695}"/>
    <cellStyle name="Normal 2 4 2 4 2 6 4" xfId="11445" xr:uid="{699C6D35-DFEA-48E5-976A-BC372240AAEE}"/>
    <cellStyle name="Normal 2 4 2 4 2 7" xfId="2466" xr:uid="{00000000-0005-0000-0000-00005C0F0000}"/>
    <cellStyle name="Normal 2 4 2 4 2 7 2" xfId="6749" xr:uid="{00000000-0005-0000-0000-00005D0F0000}"/>
    <cellStyle name="Normal 2 4 2 4 2 7 2 2" xfId="16075" xr:uid="{79641F9F-2F24-4D97-BA2B-7C710DEF5B54}"/>
    <cellStyle name="Normal 2 4 2 4 2 7 3" xfId="11858" xr:uid="{CB00FFEA-46E4-4CDE-BC53-9BC6ED03EDD5}"/>
    <cellStyle name="Normal 2 4 2 4 2 8" xfId="4683" xr:uid="{00000000-0005-0000-0000-00005E0F0000}"/>
    <cellStyle name="Normal 2 4 2 4 2 8 2" xfId="14009" xr:uid="{5B62215F-3858-4E97-9E38-8A001B467A6A}"/>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459681D6-E3BC-4D63-901F-E194742BC45D}"/>
    <cellStyle name="Normal 2 4 2 4 3 2 2 3" xfId="12353" xr:uid="{F3A8A801-8BF0-42CE-846C-B0AC55627D2E}"/>
    <cellStyle name="Normal 2 4 2 4 3 2 3" xfId="5099" xr:uid="{00000000-0005-0000-0000-0000630F0000}"/>
    <cellStyle name="Normal 2 4 2 4 3 2 3 2" xfId="14425" xr:uid="{EB511247-A851-4307-9E01-01D7C332250F}"/>
    <cellStyle name="Normal 2 4 2 4 3 2 4" xfId="9444" xr:uid="{807939DF-E7C0-4015-A3D8-AE9E56020172}"/>
    <cellStyle name="Normal 2 4 2 4 3 2 5" xfId="10208" xr:uid="{85A2398A-DDA0-43B4-8888-2B19BBBF6A2D}"/>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624C5D77-CFCF-4906-8952-75BF3DE5873A}"/>
    <cellStyle name="Normal 2 4 2 4 3 3 2 3" xfId="12766" xr:uid="{EA9E8B81-5699-45C1-A57B-059579A8CDC9}"/>
    <cellStyle name="Normal 2 4 2 4 3 3 3" xfId="5512" xr:uid="{00000000-0005-0000-0000-0000670F0000}"/>
    <cellStyle name="Normal 2 4 2 4 3 3 3 2" xfId="14838" xr:uid="{F6909CAA-1CEB-4363-82A1-F7E3F3DB9161}"/>
    <cellStyle name="Normal 2 4 2 4 3 3 4" xfId="10621" xr:uid="{CE61F999-FAA9-4D22-88E3-C65D97E3FC4E}"/>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0AA7271A-8E1F-4629-8F0A-1ABEB866F869}"/>
    <cellStyle name="Normal 2 4 2 4 3 4 2 3" xfId="13179" xr:uid="{CAB121CA-A362-4CCA-B919-159E56A81E54}"/>
    <cellStyle name="Normal 2 4 2 4 3 4 3" xfId="5925" xr:uid="{00000000-0005-0000-0000-00006B0F0000}"/>
    <cellStyle name="Normal 2 4 2 4 3 4 3 2" xfId="15251" xr:uid="{6AED8A1D-4AD9-4063-A8DB-053460D993D4}"/>
    <cellStyle name="Normal 2 4 2 4 3 4 4" xfId="11034" xr:uid="{A73F8A34-2489-4063-8250-4598638520AA}"/>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A2539357-EE40-4543-86FD-74A1F15AB000}"/>
    <cellStyle name="Normal 2 4 2 4 3 5 2 3" xfId="13592" xr:uid="{12346408-FDCE-4F10-8DC7-04CF10CDD3DF}"/>
    <cellStyle name="Normal 2 4 2 4 3 5 3" xfId="6338" xr:uid="{00000000-0005-0000-0000-00006F0F0000}"/>
    <cellStyle name="Normal 2 4 2 4 3 5 3 2" xfId="15664" xr:uid="{E18F07CD-3B01-461B-8152-B68F42701C50}"/>
    <cellStyle name="Normal 2 4 2 4 3 5 4" xfId="11447" xr:uid="{CA1DE159-F64D-415D-A6A3-EA79984A9D2A}"/>
    <cellStyle name="Normal 2 4 2 4 3 6" xfId="2468" xr:uid="{00000000-0005-0000-0000-0000700F0000}"/>
    <cellStyle name="Normal 2 4 2 4 3 6 2" xfId="6751" xr:uid="{00000000-0005-0000-0000-0000710F0000}"/>
    <cellStyle name="Normal 2 4 2 4 3 6 2 2" xfId="16077" xr:uid="{018A9D4B-1241-4587-9445-ED01C2E0E2ED}"/>
    <cellStyle name="Normal 2 4 2 4 3 6 3" xfId="11860" xr:uid="{25B781DF-CC91-4EE7-BC5B-2BE44A19EC4C}"/>
    <cellStyle name="Normal 2 4 2 4 3 7" xfId="4685" xr:uid="{00000000-0005-0000-0000-0000720F0000}"/>
    <cellStyle name="Normal 2 4 2 4 3 7 2" xfId="14011" xr:uid="{C95199A4-2EBD-4B2A-84DC-6648D74A18A4}"/>
    <cellStyle name="Normal 2 4 2 4 3 8" xfId="9019" xr:uid="{1F22810F-FF7D-4FF4-861A-F2BA8F253428}"/>
    <cellStyle name="Normal 2 4 2 4 3 9" xfId="9794" xr:uid="{62BCBC9A-A5F4-4EAD-B969-866D64D1BAC5}"/>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659302D6-F91E-48AE-A0EE-FC520590CEA9}"/>
    <cellStyle name="Normal 2 4 2 4 4 2 3" xfId="12350" xr:uid="{5C7CFB58-285A-4038-970A-088EFA85738B}"/>
    <cellStyle name="Normal 2 4 2 4 4 3" xfId="5096" xr:uid="{00000000-0005-0000-0000-0000760F0000}"/>
    <cellStyle name="Normal 2 4 2 4 4 3 2" xfId="14422" xr:uid="{082DB4DB-5D39-49B9-B988-AA2A1744DC57}"/>
    <cellStyle name="Normal 2 4 2 4 4 4" xfId="9237" xr:uid="{FF4B133D-A40B-4895-9E3D-E727B18E66C8}"/>
    <cellStyle name="Normal 2 4 2 4 4 5" xfId="10205" xr:uid="{7FAE39AB-B4E6-4FD5-A3B8-A8FBAC94DA87}"/>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FC3F5557-F426-4389-8351-6CE16DB312F9}"/>
    <cellStyle name="Normal 2 4 2 4 5 2 3" xfId="12763" xr:uid="{C1668815-3883-4B42-915A-EA01C3B8404D}"/>
    <cellStyle name="Normal 2 4 2 4 5 3" xfId="5509" xr:uid="{00000000-0005-0000-0000-00007A0F0000}"/>
    <cellStyle name="Normal 2 4 2 4 5 3 2" xfId="14835" xr:uid="{D9A9C254-9CE1-46EC-B6C8-90FF97FFA879}"/>
    <cellStyle name="Normal 2 4 2 4 5 4" xfId="10618" xr:uid="{D33D4312-A5A4-47AA-B587-72E6F2BC4401}"/>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E157D38F-ABC8-41C1-8A6E-F5B53168349A}"/>
    <cellStyle name="Normal 2 4 2 4 6 2 3" xfId="13176" xr:uid="{56FC9AFD-C1B4-4700-BF48-7EEC642C60BE}"/>
    <cellStyle name="Normal 2 4 2 4 6 3" xfId="5922" xr:uid="{00000000-0005-0000-0000-00007E0F0000}"/>
    <cellStyle name="Normal 2 4 2 4 6 3 2" xfId="15248" xr:uid="{41AD2E11-9309-4A12-9123-208764AF5BBB}"/>
    <cellStyle name="Normal 2 4 2 4 6 4" xfId="11031" xr:uid="{8B388A84-8ECB-4C41-9338-963E2B831347}"/>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8907AB24-CA00-44DE-A97C-AD33C8608EB0}"/>
    <cellStyle name="Normal 2 4 2 4 7 2 3" xfId="13589" xr:uid="{ED183C34-92B2-40DE-8358-B3D8BF1A2041}"/>
    <cellStyle name="Normal 2 4 2 4 7 3" xfId="6335" xr:uid="{00000000-0005-0000-0000-0000820F0000}"/>
    <cellStyle name="Normal 2 4 2 4 7 3 2" xfId="15661" xr:uid="{5289341A-8BDB-4AA7-98B7-E6FD7354C559}"/>
    <cellStyle name="Normal 2 4 2 4 7 4" xfId="11444" xr:uid="{65AA13B5-3B51-460F-B95F-702E2B0EF76E}"/>
    <cellStyle name="Normal 2 4 2 4 8" xfId="2465" xr:uid="{00000000-0005-0000-0000-0000830F0000}"/>
    <cellStyle name="Normal 2 4 2 4 8 2" xfId="6748" xr:uid="{00000000-0005-0000-0000-0000840F0000}"/>
    <cellStyle name="Normal 2 4 2 4 8 2 2" xfId="16074" xr:uid="{C419E05A-AD72-4F04-B4FE-628489FB53FC}"/>
    <cellStyle name="Normal 2 4 2 4 8 3" xfId="11857" xr:uid="{F8B42BEB-A164-4C00-9F3D-AAF86D3A090C}"/>
    <cellStyle name="Normal 2 4 2 4 9" xfId="4682" xr:uid="{00000000-0005-0000-0000-0000850F0000}"/>
    <cellStyle name="Normal 2 4 2 4 9 2" xfId="14008" xr:uid="{5286E893-DCB7-4E6C-AD17-C83BBA34AAA3}"/>
    <cellStyle name="Normal 2 4 2 5" xfId="293" xr:uid="{00000000-0005-0000-0000-0000860F0000}"/>
    <cellStyle name="Normal 2 4 2 5 10" xfId="9795" xr:uid="{4AA389B2-55F6-43E7-B866-40583F553E1A}"/>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8C51592C-F655-4CCA-BB0F-94A724B01B4E}"/>
    <cellStyle name="Normal 2 4 2 5 2 2 2 3" xfId="12355" xr:uid="{F7F055D6-10EF-4FC5-B5D5-B01DD76E40B8}"/>
    <cellStyle name="Normal 2 4 2 5 2 2 3" xfId="5101" xr:uid="{00000000-0005-0000-0000-00008B0F0000}"/>
    <cellStyle name="Normal 2 4 2 5 2 2 3 2" xfId="14427" xr:uid="{CE0BD99A-2F60-49C3-A1A2-6B6D2DE22D08}"/>
    <cellStyle name="Normal 2 4 2 5 2 2 4" xfId="9492" xr:uid="{07DC9204-2F52-408E-80EE-617A106DD9FD}"/>
    <cellStyle name="Normal 2 4 2 5 2 2 5" xfId="10210" xr:uid="{4F8D9968-B56A-4753-BAEC-2CF442A9FB49}"/>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55128DB8-A339-41A2-9E44-EE5D8B9C8A2A}"/>
    <cellStyle name="Normal 2 4 2 5 2 3 2 3" xfId="12768" xr:uid="{7463C1F3-591A-481F-8276-44159BF59C1B}"/>
    <cellStyle name="Normal 2 4 2 5 2 3 3" xfId="5514" xr:uid="{00000000-0005-0000-0000-00008F0F0000}"/>
    <cellStyle name="Normal 2 4 2 5 2 3 3 2" xfId="14840" xr:uid="{E79F19F3-91D6-4640-BF85-66CF8CD99DA3}"/>
    <cellStyle name="Normal 2 4 2 5 2 3 4" xfId="10623" xr:uid="{B4C5738B-8DE5-4E50-8E7E-0201F4425958}"/>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083B9D72-A786-46CF-820E-189E60456779}"/>
    <cellStyle name="Normal 2 4 2 5 2 4 2 3" xfId="13181" xr:uid="{F12453BD-C26C-4508-94EB-0A234765C083}"/>
    <cellStyle name="Normal 2 4 2 5 2 4 3" xfId="5927" xr:uid="{00000000-0005-0000-0000-0000930F0000}"/>
    <cellStyle name="Normal 2 4 2 5 2 4 3 2" xfId="15253" xr:uid="{67F1C102-BDCB-4911-B15C-D05200B9CE7E}"/>
    <cellStyle name="Normal 2 4 2 5 2 4 4" xfId="11036" xr:uid="{C2EE831A-0534-40BC-AC19-B41B3A0C9F71}"/>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861BCE18-7EEA-4E33-BB8A-17999987926A}"/>
    <cellStyle name="Normal 2 4 2 5 2 5 2 3" xfId="13594" xr:uid="{C2C7ACD9-187C-49CF-B702-886244B944D0}"/>
    <cellStyle name="Normal 2 4 2 5 2 5 3" xfId="6340" xr:uid="{00000000-0005-0000-0000-0000970F0000}"/>
    <cellStyle name="Normal 2 4 2 5 2 5 3 2" xfId="15666" xr:uid="{F095ED2C-27B3-4160-B252-47547711FAC6}"/>
    <cellStyle name="Normal 2 4 2 5 2 5 4" xfId="11449" xr:uid="{5F60E0E0-761E-4D18-85FF-68B5901B3727}"/>
    <cellStyle name="Normal 2 4 2 5 2 6" xfId="2470" xr:uid="{00000000-0005-0000-0000-0000980F0000}"/>
    <cellStyle name="Normal 2 4 2 5 2 6 2" xfId="6753" xr:uid="{00000000-0005-0000-0000-0000990F0000}"/>
    <cellStyle name="Normal 2 4 2 5 2 6 2 2" xfId="16079" xr:uid="{010871C1-1508-453D-9327-735632A20710}"/>
    <cellStyle name="Normal 2 4 2 5 2 6 3" xfId="11862" xr:uid="{4ACFFCBE-154C-45A1-90F6-477F538C231C}"/>
    <cellStyle name="Normal 2 4 2 5 2 7" xfId="4687" xr:uid="{00000000-0005-0000-0000-00009A0F0000}"/>
    <cellStyle name="Normal 2 4 2 5 2 7 2" xfId="14013" xr:uid="{DF2E6563-665D-4AB2-A7D0-53494867F6FF}"/>
    <cellStyle name="Normal 2 4 2 5 2 8" xfId="9067" xr:uid="{89D5CB5A-ADE0-44B8-BC1E-FDE984B579C9}"/>
    <cellStyle name="Normal 2 4 2 5 2 9" xfId="9796" xr:uid="{4B701C4F-CE98-4CDE-857F-4A5F2DB1E11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7064A12E-2968-428D-81F0-8AA0A7DB9F00}"/>
    <cellStyle name="Normal 2 4 2 5 3 2 3" xfId="12354" xr:uid="{42E479F7-E871-4463-884B-23730DED001A}"/>
    <cellStyle name="Normal 2 4 2 5 3 3" xfId="5100" xr:uid="{00000000-0005-0000-0000-00009E0F0000}"/>
    <cellStyle name="Normal 2 4 2 5 3 3 2" xfId="14426" xr:uid="{069FD7FF-919C-424C-9556-D2098E9D48B0}"/>
    <cellStyle name="Normal 2 4 2 5 3 4" xfId="9285" xr:uid="{5DA39FB9-904E-46D3-8E24-58BF2F19DA5B}"/>
    <cellStyle name="Normal 2 4 2 5 3 5" xfId="10209" xr:uid="{2BF669C4-3550-49D6-9C21-DDC64FD65E74}"/>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A38B419A-EA55-4B2A-8E8F-59DE0D044B1D}"/>
    <cellStyle name="Normal 2 4 2 5 4 2 3" xfId="12767" xr:uid="{01E3D124-CBDD-40C8-8D8F-AA8F78428C07}"/>
    <cellStyle name="Normal 2 4 2 5 4 3" xfId="5513" xr:uid="{00000000-0005-0000-0000-0000A20F0000}"/>
    <cellStyle name="Normal 2 4 2 5 4 3 2" xfId="14839" xr:uid="{8434A87E-8883-44CC-BF43-F1E1C8EF8E21}"/>
    <cellStyle name="Normal 2 4 2 5 4 4" xfId="10622" xr:uid="{9E2585D5-CA22-48DC-9916-56A713E5BF8C}"/>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34DFC6A0-7422-4307-AD38-D1A02CB736A1}"/>
    <cellStyle name="Normal 2 4 2 5 5 2 3" xfId="13180" xr:uid="{CB6D1A6E-B09D-4762-B520-A1E65AC04C1B}"/>
    <cellStyle name="Normal 2 4 2 5 5 3" xfId="5926" xr:uid="{00000000-0005-0000-0000-0000A60F0000}"/>
    <cellStyle name="Normal 2 4 2 5 5 3 2" xfId="15252" xr:uid="{F52C9383-81B5-4DDB-B5EB-DC2B640A91DA}"/>
    <cellStyle name="Normal 2 4 2 5 5 4" xfId="11035" xr:uid="{214A2423-3007-4670-9257-FBB1D8520AEF}"/>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F09E61F6-E4FA-429A-8AF9-80D3CD71CFB2}"/>
    <cellStyle name="Normal 2 4 2 5 6 2 3" xfId="13593" xr:uid="{85B82246-E9E1-4682-BF14-C2C60B09B227}"/>
    <cellStyle name="Normal 2 4 2 5 6 3" xfId="6339" xr:uid="{00000000-0005-0000-0000-0000AA0F0000}"/>
    <cellStyle name="Normal 2 4 2 5 6 3 2" xfId="15665" xr:uid="{F636FBF1-3E22-425C-A03B-EBE19E58FED2}"/>
    <cellStyle name="Normal 2 4 2 5 6 4" xfId="11448" xr:uid="{12C0DCB0-468E-4574-8CB4-D6EF131A7C22}"/>
    <cellStyle name="Normal 2 4 2 5 7" xfId="2469" xr:uid="{00000000-0005-0000-0000-0000AB0F0000}"/>
    <cellStyle name="Normal 2 4 2 5 7 2" xfId="6752" xr:uid="{00000000-0005-0000-0000-0000AC0F0000}"/>
    <cellStyle name="Normal 2 4 2 5 7 2 2" xfId="16078" xr:uid="{BF2F0E3E-58FD-46D6-AC82-992810C77EC0}"/>
    <cellStyle name="Normal 2 4 2 5 7 3" xfId="11861" xr:uid="{5AF7565D-8C48-4B25-8199-3CCB4AA14A77}"/>
    <cellStyle name="Normal 2 4 2 5 8" xfId="4686" xr:uid="{00000000-0005-0000-0000-0000AD0F0000}"/>
    <cellStyle name="Normal 2 4 2 5 8 2" xfId="14012" xr:uid="{805D04A1-9138-4BEC-9EAE-9BCC7738AA6C}"/>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7E18CFD6-7464-4AE2-81EC-1CA20D1BAF10}"/>
    <cellStyle name="Normal 2 4 2 6 2 2 3" xfId="12356" xr:uid="{365A66CC-9EE1-4746-9D13-7B3F1B61F24B}"/>
    <cellStyle name="Normal 2 4 2 6 2 3" xfId="5102" xr:uid="{00000000-0005-0000-0000-0000B20F0000}"/>
    <cellStyle name="Normal 2 4 2 6 2 3 2" xfId="14428" xr:uid="{D27974B7-5BE1-4E43-BE6C-B8B6129E2C09}"/>
    <cellStyle name="Normal 2 4 2 6 2 4" xfId="9401" xr:uid="{C89DD342-23DD-474B-84C5-F9DED42F169B}"/>
    <cellStyle name="Normal 2 4 2 6 2 5" xfId="10211" xr:uid="{582C03B2-D0EE-4FE8-A566-11BD943D4225}"/>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A1E5AB33-D5D1-4D17-8247-1BFE86ADF486}"/>
    <cellStyle name="Normal 2 4 2 6 3 2 3" xfId="12769" xr:uid="{1378E206-8DE6-415E-A744-79563320743C}"/>
    <cellStyle name="Normal 2 4 2 6 3 3" xfId="5515" xr:uid="{00000000-0005-0000-0000-0000B60F0000}"/>
    <cellStyle name="Normal 2 4 2 6 3 3 2" xfId="14841" xr:uid="{7923A9B1-DFB2-486D-8607-999C4C85C0EB}"/>
    <cellStyle name="Normal 2 4 2 6 3 4" xfId="10624" xr:uid="{09618136-7302-455B-A443-EB156F854634}"/>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4511196D-1084-4F37-82A4-FC50A03A885B}"/>
    <cellStyle name="Normal 2 4 2 6 4 2 3" xfId="13182" xr:uid="{2205B859-C661-47FD-8D97-F4F551CC8597}"/>
    <cellStyle name="Normal 2 4 2 6 4 3" xfId="5928" xr:uid="{00000000-0005-0000-0000-0000BA0F0000}"/>
    <cellStyle name="Normal 2 4 2 6 4 3 2" xfId="15254" xr:uid="{54F63E42-B51E-4CE6-897F-A4AA54B2F5F1}"/>
    <cellStyle name="Normal 2 4 2 6 4 4" xfId="11037" xr:uid="{D763C55C-8CE8-4A36-8A8B-91C24D9326F8}"/>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409EC126-28A8-4107-B83F-ED367A21CC53}"/>
    <cellStyle name="Normal 2 4 2 6 5 2 3" xfId="13595" xr:uid="{609034EE-C0D5-4800-A6A3-BE1F08C01826}"/>
    <cellStyle name="Normal 2 4 2 6 5 3" xfId="6341" xr:uid="{00000000-0005-0000-0000-0000BE0F0000}"/>
    <cellStyle name="Normal 2 4 2 6 5 3 2" xfId="15667" xr:uid="{DAEB2F64-DF3F-4529-9B26-4420CC3A134A}"/>
    <cellStyle name="Normal 2 4 2 6 5 4" xfId="11450" xr:uid="{6BE99921-C0B3-4502-B3D3-406488F82653}"/>
    <cellStyle name="Normal 2 4 2 6 6" xfId="2471" xr:uid="{00000000-0005-0000-0000-0000BF0F0000}"/>
    <cellStyle name="Normal 2 4 2 6 6 2" xfId="6754" xr:uid="{00000000-0005-0000-0000-0000C00F0000}"/>
    <cellStyle name="Normal 2 4 2 6 6 2 2" xfId="16080" xr:uid="{ED2C6CF4-B44C-43EC-AB95-A32421B7BAD7}"/>
    <cellStyle name="Normal 2 4 2 6 6 3" xfId="11863" xr:uid="{94DE04B8-E1DB-4CA1-959D-20B83F503EDE}"/>
    <cellStyle name="Normal 2 4 2 6 7" xfId="4688" xr:uid="{00000000-0005-0000-0000-0000C10F0000}"/>
    <cellStyle name="Normal 2 4 2 6 7 2" xfId="14014" xr:uid="{AF7BF94A-5CCE-4E8E-B8CD-C439579EE362}"/>
    <cellStyle name="Normal 2 4 2 6 8" xfId="8976" xr:uid="{6DEAFF8C-68CB-4364-A161-479509F453AE}"/>
    <cellStyle name="Normal 2 4 2 6 9" xfId="9797" xr:uid="{7D9D512C-4CB9-4825-88A9-A6D330A22702}"/>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EB986909-484E-4DA9-A049-8E5E853E0A40}"/>
    <cellStyle name="Normal 2 4 2 7 2 3" xfId="12341" xr:uid="{4491B930-7E7F-4F5E-8A72-D342C5DAB4D6}"/>
    <cellStyle name="Normal 2 4 2 7 3" xfId="5087" xr:uid="{00000000-0005-0000-0000-0000C50F0000}"/>
    <cellStyle name="Normal 2 4 2 7 3 2" xfId="14413" xr:uid="{15A71EF9-A41A-4F05-975A-9537A8D1DDC8}"/>
    <cellStyle name="Normal 2 4 2 7 4" xfId="9179" xr:uid="{D1C44CED-398E-43B3-AFA3-1E7DC60C5D92}"/>
    <cellStyle name="Normal 2 4 2 7 5" xfId="10196" xr:uid="{10F6189B-69F9-4208-A4C0-2621D2D9CBF9}"/>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BFFC74E0-290F-4ED3-A711-9672B6E4658C}"/>
    <cellStyle name="Normal 2 4 2 8 2 3" xfId="12754" xr:uid="{E7DCA057-581F-4FD3-BA72-78BF7A642E75}"/>
    <cellStyle name="Normal 2 4 2 8 3" xfId="5500" xr:uid="{00000000-0005-0000-0000-0000C90F0000}"/>
    <cellStyle name="Normal 2 4 2 8 3 2" xfId="14826" xr:uid="{3D72CC0B-DBE7-4B40-8719-DFFAFCB7F3A2}"/>
    <cellStyle name="Normal 2 4 2 8 4" xfId="10609" xr:uid="{D316B4AA-C9DB-4747-A729-D3C8A48C051D}"/>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D7AAF44D-03F6-4B7F-98F4-990B8A2D1F73}"/>
    <cellStyle name="Normal 2 4 2 9 2 3" xfId="13167" xr:uid="{0B42A5CE-ADA7-4CBE-9993-D798B9C1CE4B}"/>
    <cellStyle name="Normal 2 4 2 9 3" xfId="5913" xr:uid="{00000000-0005-0000-0000-0000CD0F0000}"/>
    <cellStyle name="Normal 2 4 2 9 3 2" xfId="15239" xr:uid="{94B77943-51E6-43EC-AE1B-063E0B1BF890}"/>
    <cellStyle name="Normal 2 4 2 9 4" xfId="11022" xr:uid="{3E3F3FEE-C165-4A10-A965-95A474D36979}"/>
    <cellStyle name="Normal 2 4 3" xfId="296" xr:uid="{00000000-0005-0000-0000-0000CE0F0000}"/>
    <cellStyle name="Normal 2 4 3 10" xfId="9798" xr:uid="{DBB00D0D-9830-4A2A-B8F1-FFAF564B703A}"/>
    <cellStyle name="Normal 2 4 3 2" xfId="297" xr:uid="{00000000-0005-0000-0000-0000CF0F0000}"/>
    <cellStyle name="Normal 2 4 3 3" xfId="298" xr:uid="{00000000-0005-0000-0000-0000D00F0000}"/>
    <cellStyle name="Normal 2 4 3 3 10" xfId="8814" xr:uid="{F78EFD99-FCC5-4915-ACA3-DFC3FC0D45A5}"/>
    <cellStyle name="Normal 2 4 3 3 11" xfId="9799" xr:uid="{77DC904C-4BE3-4A7A-8CDF-052CD3395B03}"/>
    <cellStyle name="Normal 2 4 3 3 2" xfId="299" xr:uid="{00000000-0005-0000-0000-0000D10F0000}"/>
    <cellStyle name="Normal 2 4 3 3 2 10" xfId="9800" xr:uid="{642A7CDF-61F1-428C-9E3C-C39C3762F54E}"/>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9013E144-D126-4319-BEC2-1F24516B9BBA}"/>
    <cellStyle name="Normal 2 4 3 3 2 2 2 2 3" xfId="12360" xr:uid="{02877266-54B5-43B7-BDC4-884F1BE6A2D2}"/>
    <cellStyle name="Normal 2 4 3 3 2 2 2 3" xfId="5106" xr:uid="{00000000-0005-0000-0000-0000D60F0000}"/>
    <cellStyle name="Normal 2 4 3 3 2 2 2 3 2" xfId="14432" xr:uid="{482C8452-C0E9-48BE-82FE-60FDF2E5CB38}"/>
    <cellStyle name="Normal 2 4 3 3 2 2 2 4" xfId="9549" xr:uid="{EA88B7BC-E37D-4688-A768-0D7FE5EF9F42}"/>
    <cellStyle name="Normal 2 4 3 3 2 2 2 5" xfId="10215" xr:uid="{D40FEF79-FCAF-4E87-B3C5-4F57A125CEE3}"/>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74E426A2-A8D0-4262-9156-D852CCE6682D}"/>
    <cellStyle name="Normal 2 4 3 3 2 2 3 2 3" xfId="12773" xr:uid="{91B12333-918C-4A4B-93AC-6765B323A220}"/>
    <cellStyle name="Normal 2 4 3 3 2 2 3 3" xfId="5519" xr:uid="{00000000-0005-0000-0000-0000DA0F0000}"/>
    <cellStyle name="Normal 2 4 3 3 2 2 3 3 2" xfId="14845" xr:uid="{958A4F3E-24BA-4C05-8B5E-81F142050320}"/>
    <cellStyle name="Normal 2 4 3 3 2 2 3 4" xfId="10628" xr:uid="{CF416C85-8D63-4643-B43D-465E61935728}"/>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A07CD254-08FF-49E5-B4B2-243FD1BB2A4D}"/>
    <cellStyle name="Normal 2 4 3 3 2 2 4 2 3" xfId="13186" xr:uid="{CA5EF012-712F-40F9-871B-47DF079607BD}"/>
    <cellStyle name="Normal 2 4 3 3 2 2 4 3" xfId="5932" xr:uid="{00000000-0005-0000-0000-0000DE0F0000}"/>
    <cellStyle name="Normal 2 4 3 3 2 2 4 3 2" xfId="15258" xr:uid="{BB2716B3-DB0A-45EE-BB57-C0613D68896F}"/>
    <cellStyle name="Normal 2 4 3 3 2 2 4 4" xfId="11041" xr:uid="{31A274F9-2AD4-476E-866C-6DFE2C808E3E}"/>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16731B2E-E227-444D-B8BB-D1B02718FC2F}"/>
    <cellStyle name="Normal 2 4 3 3 2 2 5 2 3" xfId="13599" xr:uid="{8C9F2D9D-8DDC-401D-9BBD-321D71F7450E}"/>
    <cellStyle name="Normal 2 4 3 3 2 2 5 3" xfId="6345" xr:uid="{00000000-0005-0000-0000-0000E20F0000}"/>
    <cellStyle name="Normal 2 4 3 3 2 2 5 3 2" xfId="15671" xr:uid="{55A4F11F-6203-434C-B0DC-16BAD84F54F8}"/>
    <cellStyle name="Normal 2 4 3 3 2 2 5 4" xfId="11454" xr:uid="{7BAF7992-018F-447C-BA6E-840C34DE031A}"/>
    <cellStyle name="Normal 2 4 3 3 2 2 6" xfId="2475" xr:uid="{00000000-0005-0000-0000-0000E30F0000}"/>
    <cellStyle name="Normal 2 4 3 3 2 2 6 2" xfId="6758" xr:uid="{00000000-0005-0000-0000-0000E40F0000}"/>
    <cellStyle name="Normal 2 4 3 3 2 2 6 2 2" xfId="16084" xr:uid="{7854C279-197F-42CC-B9E0-656594035B59}"/>
    <cellStyle name="Normal 2 4 3 3 2 2 6 3" xfId="11867" xr:uid="{D17B3DB4-E7A6-4C51-828F-6FCDCBF8EED4}"/>
    <cellStyle name="Normal 2 4 3 3 2 2 7" xfId="4692" xr:uid="{00000000-0005-0000-0000-0000E50F0000}"/>
    <cellStyle name="Normal 2 4 3 3 2 2 7 2" xfId="14018" xr:uid="{8942CB57-780F-491D-8DD6-0456E0473CFC}"/>
    <cellStyle name="Normal 2 4 3 3 2 2 8" xfId="9124" xr:uid="{1FF2B195-09C8-4D7B-A363-E8AF809A669B}"/>
    <cellStyle name="Normal 2 4 3 3 2 2 9" xfId="9801" xr:uid="{4062F693-7164-4CEB-BF8F-9D76B5884C5F}"/>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25659650-0813-46E2-B89F-548B259C135B}"/>
    <cellStyle name="Normal 2 4 3 3 2 3 2 3" xfId="12359" xr:uid="{DE7BE646-0226-45F7-A460-9423A89DA9F5}"/>
    <cellStyle name="Normal 2 4 3 3 2 3 3" xfId="5105" xr:uid="{00000000-0005-0000-0000-0000E90F0000}"/>
    <cellStyle name="Normal 2 4 3 3 2 3 3 2" xfId="14431" xr:uid="{FC2045BA-C3F2-4410-9AE9-9E3E7757509B}"/>
    <cellStyle name="Normal 2 4 3 3 2 3 4" xfId="9342" xr:uid="{41454CF9-47C1-4E8A-868A-8F39341308EB}"/>
    <cellStyle name="Normal 2 4 3 3 2 3 5" xfId="10214" xr:uid="{2AE8E017-8A72-40A1-BF08-404475C84EF3}"/>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B441DFC7-ECF1-40B6-819B-1C999A64327C}"/>
    <cellStyle name="Normal 2 4 3 3 2 4 2 3" xfId="12772" xr:uid="{3F3FBB64-4750-426B-AFFD-F7E1EE35EA70}"/>
    <cellStyle name="Normal 2 4 3 3 2 4 3" xfId="5518" xr:uid="{00000000-0005-0000-0000-0000ED0F0000}"/>
    <cellStyle name="Normal 2 4 3 3 2 4 3 2" xfId="14844" xr:uid="{B46F298A-56C2-4D0B-BE81-93EA655C4AC6}"/>
    <cellStyle name="Normal 2 4 3 3 2 4 4" xfId="10627" xr:uid="{A086C896-A9F7-44DA-BC6B-1AA605000019}"/>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693C62CF-9552-4A5A-8007-65D4E6F42F35}"/>
    <cellStyle name="Normal 2 4 3 3 2 5 2 3" xfId="13185" xr:uid="{9895C541-6A14-4D29-9AE2-1E7C081C8AC6}"/>
    <cellStyle name="Normal 2 4 3 3 2 5 3" xfId="5931" xr:uid="{00000000-0005-0000-0000-0000F10F0000}"/>
    <cellStyle name="Normal 2 4 3 3 2 5 3 2" xfId="15257" xr:uid="{786C5B5F-EA05-4F18-A5D6-35F558D2BE6B}"/>
    <cellStyle name="Normal 2 4 3 3 2 5 4" xfId="11040" xr:uid="{A9C63318-8CE5-495B-9EE0-62B56DE4CFD8}"/>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D8224188-97D5-45EF-BD9F-5212FBD288ED}"/>
    <cellStyle name="Normal 2 4 3 3 2 6 2 3" xfId="13598" xr:uid="{78E29C5C-F358-48DC-8F1F-0D5FB7CD2121}"/>
    <cellStyle name="Normal 2 4 3 3 2 6 3" xfId="6344" xr:uid="{00000000-0005-0000-0000-0000F50F0000}"/>
    <cellStyle name="Normal 2 4 3 3 2 6 3 2" xfId="15670" xr:uid="{117E1701-784D-4068-8A02-A8611BE43695}"/>
    <cellStyle name="Normal 2 4 3 3 2 6 4" xfId="11453" xr:uid="{7F0B4F53-3F38-499F-A42F-F99180DF3052}"/>
    <cellStyle name="Normal 2 4 3 3 2 7" xfId="2474" xr:uid="{00000000-0005-0000-0000-0000F60F0000}"/>
    <cellStyle name="Normal 2 4 3 3 2 7 2" xfId="6757" xr:uid="{00000000-0005-0000-0000-0000F70F0000}"/>
    <cellStyle name="Normal 2 4 3 3 2 7 2 2" xfId="16083" xr:uid="{BB69E561-E19B-4E41-968D-BB95D095DCC2}"/>
    <cellStyle name="Normal 2 4 3 3 2 7 3" xfId="11866" xr:uid="{83C2929E-AA30-4483-B19B-323A6AA40572}"/>
    <cellStyle name="Normal 2 4 3 3 2 8" xfId="4691" xr:uid="{00000000-0005-0000-0000-0000F80F0000}"/>
    <cellStyle name="Normal 2 4 3 3 2 8 2" xfId="14017" xr:uid="{8868BFFB-D4DA-4E08-85D2-D2B6811043A4}"/>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3C001AC7-BFED-468B-B2D5-17F33E60919A}"/>
    <cellStyle name="Normal 2 4 3 3 3 2 2 3" xfId="12361" xr:uid="{593DCB1A-F67B-4255-9533-7C006089A7CE}"/>
    <cellStyle name="Normal 2 4 3 3 3 2 3" xfId="5107" xr:uid="{00000000-0005-0000-0000-0000FD0F0000}"/>
    <cellStyle name="Normal 2 4 3 3 3 2 3 2" xfId="14433" xr:uid="{EE8B005E-D206-4AE8-B732-B1BDFEAEB571}"/>
    <cellStyle name="Normal 2 4 3 3 3 2 4" xfId="9446" xr:uid="{7ACDBBC8-943F-41CF-9832-96F56BCB3985}"/>
    <cellStyle name="Normal 2 4 3 3 3 2 5" xfId="10216" xr:uid="{6949B2F8-5C82-4286-B8B6-4BF7DAD6554E}"/>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DEB93B21-BB64-429C-A585-02674AB34DF9}"/>
    <cellStyle name="Normal 2 4 3 3 3 3 2 3" xfId="12774" xr:uid="{F7734F65-C34C-4CD4-97D0-4B543D45D301}"/>
    <cellStyle name="Normal 2 4 3 3 3 3 3" xfId="5520" xr:uid="{00000000-0005-0000-0000-000001100000}"/>
    <cellStyle name="Normal 2 4 3 3 3 3 3 2" xfId="14846" xr:uid="{C8EB44E5-59F9-49FD-B19A-BE184985159A}"/>
    <cellStyle name="Normal 2 4 3 3 3 3 4" xfId="10629" xr:uid="{BA540236-AD01-4317-9169-9FA0F6406A8F}"/>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A6C3E01B-E310-4A76-9C4B-FA1ED7A00EDD}"/>
    <cellStyle name="Normal 2 4 3 3 3 4 2 3" xfId="13187" xr:uid="{666E2AE7-021A-474D-AB1B-75C18D750172}"/>
    <cellStyle name="Normal 2 4 3 3 3 4 3" xfId="5933" xr:uid="{00000000-0005-0000-0000-000005100000}"/>
    <cellStyle name="Normal 2 4 3 3 3 4 3 2" xfId="15259" xr:uid="{2F6402C7-ED6B-4E2A-A918-E3382E4B25DF}"/>
    <cellStyle name="Normal 2 4 3 3 3 4 4" xfId="11042" xr:uid="{FF9D51A7-762C-4EF5-A353-28C880E4DCF3}"/>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C4D2BB70-4880-4188-A1CC-343B42E00E80}"/>
    <cellStyle name="Normal 2 4 3 3 3 5 2 3" xfId="13600" xr:uid="{AF7901AC-1C26-492C-A75B-FA023A070764}"/>
    <cellStyle name="Normal 2 4 3 3 3 5 3" xfId="6346" xr:uid="{00000000-0005-0000-0000-000009100000}"/>
    <cellStyle name="Normal 2 4 3 3 3 5 3 2" xfId="15672" xr:uid="{A91B3D7D-81D3-44FD-B6CF-86CE02BBBE35}"/>
    <cellStyle name="Normal 2 4 3 3 3 5 4" xfId="11455" xr:uid="{711F7912-1F11-4900-8D35-8A952371B187}"/>
    <cellStyle name="Normal 2 4 3 3 3 6" xfId="2476" xr:uid="{00000000-0005-0000-0000-00000A100000}"/>
    <cellStyle name="Normal 2 4 3 3 3 6 2" xfId="6759" xr:uid="{00000000-0005-0000-0000-00000B100000}"/>
    <cellStyle name="Normal 2 4 3 3 3 6 2 2" xfId="16085" xr:uid="{929C0C6E-372A-4598-B2BE-18CDDECAEF4D}"/>
    <cellStyle name="Normal 2 4 3 3 3 6 3" xfId="11868" xr:uid="{226A7F90-207D-4319-9D78-862F521678CE}"/>
    <cellStyle name="Normal 2 4 3 3 3 7" xfId="4693" xr:uid="{00000000-0005-0000-0000-00000C100000}"/>
    <cellStyle name="Normal 2 4 3 3 3 7 2" xfId="14019" xr:uid="{3862BD7F-EEDE-4150-9420-46883EFE5E55}"/>
    <cellStyle name="Normal 2 4 3 3 3 8" xfId="9021" xr:uid="{4EC0F035-DC07-4262-9C58-7142AC357944}"/>
    <cellStyle name="Normal 2 4 3 3 3 9" xfId="9802" xr:uid="{1CFD5502-DD35-47BE-A9B6-20724E7F6DFB}"/>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62B9C8B4-9C8D-41F3-9EEE-BE00818EB9DC}"/>
    <cellStyle name="Normal 2 4 3 3 4 2 3" xfId="12358" xr:uid="{2866A2CD-650A-47AE-9535-13CA383BDC94}"/>
    <cellStyle name="Normal 2 4 3 3 4 3" xfId="5104" xr:uid="{00000000-0005-0000-0000-000010100000}"/>
    <cellStyle name="Normal 2 4 3 3 4 3 2" xfId="14430" xr:uid="{CEF406E4-E89C-46E5-9701-4BCB7F8245BB}"/>
    <cellStyle name="Normal 2 4 3 3 4 4" xfId="9239" xr:uid="{3DCBA9AF-C63D-4CA9-81B6-AC7CB7B67292}"/>
    <cellStyle name="Normal 2 4 3 3 4 5" xfId="10213" xr:uid="{46F53C73-88ED-4056-99AB-464CB7A16124}"/>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A56A7FC2-00F5-4A69-9608-D675DD49B5FE}"/>
    <cellStyle name="Normal 2 4 3 3 5 2 3" xfId="12771" xr:uid="{233F1640-7378-4064-A562-D6E3CCBCBE99}"/>
    <cellStyle name="Normal 2 4 3 3 5 3" xfId="5517" xr:uid="{00000000-0005-0000-0000-000014100000}"/>
    <cellStyle name="Normal 2 4 3 3 5 3 2" xfId="14843" xr:uid="{1C602CE0-6D04-41B3-9771-6EA5AE72E89E}"/>
    <cellStyle name="Normal 2 4 3 3 5 4" xfId="10626" xr:uid="{C19F04A6-C42E-4AB5-AAF3-4CC2F1893EA0}"/>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8EC74BC7-A00F-429F-B330-C40A52718D28}"/>
    <cellStyle name="Normal 2 4 3 3 6 2 3" xfId="13184" xr:uid="{9D2237E7-8FD9-4DBD-B887-4FE926218DCE}"/>
    <cellStyle name="Normal 2 4 3 3 6 3" xfId="5930" xr:uid="{00000000-0005-0000-0000-000018100000}"/>
    <cellStyle name="Normal 2 4 3 3 6 3 2" xfId="15256" xr:uid="{25604CC3-08D7-4A6B-ADD9-D90C3DA50D92}"/>
    <cellStyle name="Normal 2 4 3 3 6 4" xfId="11039" xr:uid="{814FD8E4-27BB-4AE8-9510-1AE4714FD403}"/>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090551B8-8A1F-430A-A63D-B9A9DD9D265A}"/>
    <cellStyle name="Normal 2 4 3 3 7 2 3" xfId="13597" xr:uid="{0DD5638E-88CD-4C1F-85A1-A4CFAFCB9A16}"/>
    <cellStyle name="Normal 2 4 3 3 7 3" xfId="6343" xr:uid="{00000000-0005-0000-0000-00001C100000}"/>
    <cellStyle name="Normal 2 4 3 3 7 3 2" xfId="15669" xr:uid="{44BE0EA6-8042-46FB-8CC8-EAEE12360B5C}"/>
    <cellStyle name="Normal 2 4 3 3 7 4" xfId="11452" xr:uid="{AF0835BA-3513-47E1-BD94-6C8B271B7E7A}"/>
    <cellStyle name="Normal 2 4 3 3 8" xfId="2473" xr:uid="{00000000-0005-0000-0000-00001D100000}"/>
    <cellStyle name="Normal 2 4 3 3 8 2" xfId="6756" xr:uid="{00000000-0005-0000-0000-00001E100000}"/>
    <cellStyle name="Normal 2 4 3 3 8 2 2" xfId="16082" xr:uid="{FD931534-7E62-43EA-A8F8-1D16178BA57C}"/>
    <cellStyle name="Normal 2 4 3 3 8 3" xfId="11865" xr:uid="{3E1B6286-E696-49E5-928B-71659D810D6F}"/>
    <cellStyle name="Normal 2 4 3 3 9" xfId="4690" xr:uid="{00000000-0005-0000-0000-00001F100000}"/>
    <cellStyle name="Normal 2 4 3 3 9 2" xfId="14016" xr:uid="{AE6481DA-30F3-4EFE-B72D-221A8B4CA93B}"/>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E523946E-F975-41B2-8852-084B7B630078}"/>
    <cellStyle name="Normal 2 4 3 4 2 3" xfId="12357" xr:uid="{453C9270-0C3A-4269-AF42-3EE7A6FAA638}"/>
    <cellStyle name="Normal 2 4 3 4 3" xfId="5103" xr:uid="{00000000-0005-0000-0000-000023100000}"/>
    <cellStyle name="Normal 2 4 3 4 3 2" xfId="14429" xr:uid="{55B3DA22-AD7F-43E2-B913-D3E679CC9BA9}"/>
    <cellStyle name="Normal 2 4 3 4 4" xfId="9605" xr:uid="{31B075F0-6828-4EC6-AC77-4B4B0626A722}"/>
    <cellStyle name="Normal 2 4 3 4 5" xfId="10212" xr:uid="{B3366212-BF47-4A3E-89EF-AE859DD31C13}"/>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BBFEB24C-A08B-4452-9B6A-C631A8802D1A}"/>
    <cellStyle name="Normal 2 4 3 5 2 3" xfId="12770" xr:uid="{30EEB66A-3C90-41C6-9106-FB71A689C1D3}"/>
    <cellStyle name="Normal 2 4 3 5 3" xfId="5516" xr:uid="{00000000-0005-0000-0000-000027100000}"/>
    <cellStyle name="Normal 2 4 3 5 3 2" xfId="14842" xr:uid="{CA5C29F4-1FF2-416A-A9D6-5728D947B0DE}"/>
    <cellStyle name="Normal 2 4 3 5 4" xfId="10625" xr:uid="{5C894DD9-7449-44EB-B07E-4CF17E91CD90}"/>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CD54EC9D-F1B4-4DB6-AEC9-890A68365B5B}"/>
    <cellStyle name="Normal 2 4 3 6 2 3" xfId="13183" xr:uid="{3FBDCFE9-D085-44AE-A93C-658775F41CCB}"/>
    <cellStyle name="Normal 2 4 3 6 3" xfId="5929" xr:uid="{00000000-0005-0000-0000-00002B100000}"/>
    <cellStyle name="Normal 2 4 3 6 3 2" xfId="15255" xr:uid="{E9F59365-E041-4B86-9E64-C760E9DCCBC7}"/>
    <cellStyle name="Normal 2 4 3 6 4" xfId="11038" xr:uid="{9482A14B-2029-43A9-ADD6-CA33A768240A}"/>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E462695C-95A2-44E4-91FF-55B55FBF3275}"/>
    <cellStyle name="Normal 2 4 3 7 2 3" xfId="13596" xr:uid="{DA138C07-34A1-471D-BEB0-F925A4403CC3}"/>
    <cellStyle name="Normal 2 4 3 7 3" xfId="6342" xr:uid="{00000000-0005-0000-0000-00002F100000}"/>
    <cellStyle name="Normal 2 4 3 7 3 2" xfId="15668" xr:uid="{DEDEC29A-A6F7-46E5-BCC2-D7B4B7A58533}"/>
    <cellStyle name="Normal 2 4 3 7 4" xfId="11451" xr:uid="{5551D31E-645C-4EAA-86D9-066BA65C7AC8}"/>
    <cellStyle name="Normal 2 4 3 8" xfId="2472" xr:uid="{00000000-0005-0000-0000-000030100000}"/>
    <cellStyle name="Normal 2 4 3 8 2" xfId="6755" xr:uid="{00000000-0005-0000-0000-000031100000}"/>
    <cellStyle name="Normal 2 4 3 8 2 2" xfId="16081" xr:uid="{DB245B74-AB99-4557-AF93-955BA4498815}"/>
    <cellStyle name="Normal 2 4 3 8 3" xfId="11864" xr:uid="{E3F082B8-BC83-4E29-8BC7-97E54BAD12E7}"/>
    <cellStyle name="Normal 2 4 3 9" xfId="4689" xr:uid="{00000000-0005-0000-0000-000032100000}"/>
    <cellStyle name="Normal 2 4 3 9 2" xfId="14015" xr:uid="{DCA1CA96-25C8-4198-BDB9-F9595ABE774B}"/>
    <cellStyle name="Normal 2 4 4" xfId="302" xr:uid="{00000000-0005-0000-0000-000033100000}"/>
    <cellStyle name="Normal 2 4 5" xfId="303" xr:uid="{00000000-0005-0000-0000-000034100000}"/>
    <cellStyle name="Normal 2 4 5 10" xfId="4694" xr:uid="{00000000-0005-0000-0000-000035100000}"/>
    <cellStyle name="Normal 2 4 5 10 2" xfId="14020" xr:uid="{76C97403-B871-4DE4-810D-43DC8F60AEF7}"/>
    <cellStyle name="Normal 2 4 5 11" xfId="8780" xr:uid="{7650B30D-5C17-47F0-B17B-A5E27258C29E}"/>
    <cellStyle name="Normal 2 4 5 12" xfId="9803" xr:uid="{D798BE7B-C1B2-4112-9DED-E1F368105699}"/>
    <cellStyle name="Normal 2 4 5 2" xfId="304" xr:uid="{00000000-0005-0000-0000-000036100000}"/>
    <cellStyle name="Normal 2 4 5 2 10" xfId="8815" xr:uid="{40A5EFE5-2EC9-4F25-B9EC-CAF9321E00F7}"/>
    <cellStyle name="Normal 2 4 5 2 11" xfId="9804" xr:uid="{4A5FA911-5FBA-4517-BD7C-D61A7860A167}"/>
    <cellStyle name="Normal 2 4 5 2 2" xfId="305" xr:uid="{00000000-0005-0000-0000-000037100000}"/>
    <cellStyle name="Normal 2 4 5 2 2 10" xfId="9805" xr:uid="{973D19E8-C59E-40A9-8F05-2C1E46A2F23F}"/>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44C05339-FF07-478E-A535-741C46565898}"/>
    <cellStyle name="Normal 2 4 5 2 2 2 2 2 3" xfId="12365" xr:uid="{7FDB5BF5-091C-48EE-8654-E7DFAD2D6B5B}"/>
    <cellStyle name="Normal 2 4 5 2 2 2 2 3" xfId="5111" xr:uid="{00000000-0005-0000-0000-00003C100000}"/>
    <cellStyle name="Normal 2 4 5 2 2 2 2 3 2" xfId="14437" xr:uid="{1F20C3A7-2F94-4AB0-B27B-877BCE913EC7}"/>
    <cellStyle name="Normal 2 4 5 2 2 2 2 4" xfId="9550" xr:uid="{8A7671EC-AB7E-4F51-9B1B-FE1F0FDC42A9}"/>
    <cellStyle name="Normal 2 4 5 2 2 2 2 5" xfId="10220" xr:uid="{6B66854C-87F2-43A8-A8BD-8E90E72AAF8E}"/>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37F81559-D76A-43DA-B006-558C020CAB5F}"/>
    <cellStyle name="Normal 2 4 5 2 2 2 3 2 3" xfId="12778" xr:uid="{AF307E3F-149C-4F7F-8CC3-7D7F6F1618D9}"/>
    <cellStyle name="Normal 2 4 5 2 2 2 3 3" xfId="5524" xr:uid="{00000000-0005-0000-0000-000040100000}"/>
    <cellStyle name="Normal 2 4 5 2 2 2 3 3 2" xfId="14850" xr:uid="{DC8787D9-EF55-42E2-9320-6E8782C44FAE}"/>
    <cellStyle name="Normal 2 4 5 2 2 2 3 4" xfId="10633" xr:uid="{6A8FBC79-E12D-4FB8-81D8-E153C96C6827}"/>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D3FDA22F-7832-45A8-ADFA-711522E025AE}"/>
    <cellStyle name="Normal 2 4 5 2 2 2 4 2 3" xfId="13191" xr:uid="{444BEF09-7A95-4281-8C65-286EDEA3989B}"/>
    <cellStyle name="Normal 2 4 5 2 2 2 4 3" xfId="5937" xr:uid="{00000000-0005-0000-0000-000044100000}"/>
    <cellStyle name="Normal 2 4 5 2 2 2 4 3 2" xfId="15263" xr:uid="{3FA3E721-4C57-4F9C-89F5-85B13A93572A}"/>
    <cellStyle name="Normal 2 4 5 2 2 2 4 4" xfId="11046" xr:uid="{665A66F1-AF72-41CE-8451-586C0B0DF456}"/>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78D27F55-C5FA-4074-A3AA-2EEC9F59AA70}"/>
    <cellStyle name="Normal 2 4 5 2 2 2 5 2 3" xfId="13604" xr:uid="{20827AB0-0FB3-4248-ADDB-6CD6102CC4E7}"/>
    <cellStyle name="Normal 2 4 5 2 2 2 5 3" xfId="6350" xr:uid="{00000000-0005-0000-0000-000048100000}"/>
    <cellStyle name="Normal 2 4 5 2 2 2 5 3 2" xfId="15676" xr:uid="{295E05CC-2AE8-4522-87ED-7AF0F4DBFE13}"/>
    <cellStyle name="Normal 2 4 5 2 2 2 5 4" xfId="11459" xr:uid="{FD216ABD-A8F1-4924-9637-43C68B3E2FC0}"/>
    <cellStyle name="Normal 2 4 5 2 2 2 6" xfId="2480" xr:uid="{00000000-0005-0000-0000-000049100000}"/>
    <cellStyle name="Normal 2 4 5 2 2 2 6 2" xfId="6763" xr:uid="{00000000-0005-0000-0000-00004A100000}"/>
    <cellStyle name="Normal 2 4 5 2 2 2 6 2 2" xfId="16089" xr:uid="{D7985302-EAD8-46F7-83BC-A2E01FD5EC84}"/>
    <cellStyle name="Normal 2 4 5 2 2 2 6 3" xfId="11872" xr:uid="{091D7A66-45CB-4921-888B-E7F27E7851FC}"/>
    <cellStyle name="Normal 2 4 5 2 2 2 7" xfId="4697" xr:uid="{00000000-0005-0000-0000-00004B100000}"/>
    <cellStyle name="Normal 2 4 5 2 2 2 7 2" xfId="14023" xr:uid="{B6E3FDAB-4910-4034-BD0C-613C3205A69B}"/>
    <cellStyle name="Normal 2 4 5 2 2 2 8" xfId="9125" xr:uid="{AE6B93A1-5C0B-49F1-AF15-6FC3FAFFE3B2}"/>
    <cellStyle name="Normal 2 4 5 2 2 2 9" xfId="9806" xr:uid="{1E2F5CCB-96DB-49B6-AE0F-49572464BB49}"/>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15E023F4-7C4B-4256-B292-3B7C2D8E3498}"/>
    <cellStyle name="Normal 2 4 5 2 2 3 2 3" xfId="12364" xr:uid="{2C170898-4BDC-4C25-9EC1-FEDD3966B6D3}"/>
    <cellStyle name="Normal 2 4 5 2 2 3 3" xfId="5110" xr:uid="{00000000-0005-0000-0000-00004F100000}"/>
    <cellStyle name="Normal 2 4 5 2 2 3 3 2" xfId="14436" xr:uid="{3D17E0D0-F25F-4525-8932-B6A17FADB8B8}"/>
    <cellStyle name="Normal 2 4 5 2 2 3 4" xfId="9343" xr:uid="{FC4CD386-4202-45E2-8021-2A85CACF4E8B}"/>
    <cellStyle name="Normal 2 4 5 2 2 3 5" xfId="10219" xr:uid="{8FFA867F-44E4-4C1C-B3F2-52FF63E1C983}"/>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B542D674-B695-4C21-924D-FC0EE5756700}"/>
    <cellStyle name="Normal 2 4 5 2 2 4 2 3" xfId="12777" xr:uid="{F04F8722-3BAA-4263-9F0F-7DB83EDD63B2}"/>
    <cellStyle name="Normal 2 4 5 2 2 4 3" xfId="5523" xr:uid="{00000000-0005-0000-0000-000053100000}"/>
    <cellStyle name="Normal 2 4 5 2 2 4 3 2" xfId="14849" xr:uid="{CACD5C9A-C20B-42F3-B257-BC6E4A7B9964}"/>
    <cellStyle name="Normal 2 4 5 2 2 4 4" xfId="10632" xr:uid="{A7F5D247-376D-446B-9676-5C84D3D2FCE5}"/>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69099160-6DE8-486C-90F2-68FED55D85D5}"/>
    <cellStyle name="Normal 2 4 5 2 2 5 2 3" xfId="13190" xr:uid="{3A1B5C9C-6F47-498E-BA5A-508D97EACDD2}"/>
    <cellStyle name="Normal 2 4 5 2 2 5 3" xfId="5936" xr:uid="{00000000-0005-0000-0000-000057100000}"/>
    <cellStyle name="Normal 2 4 5 2 2 5 3 2" xfId="15262" xr:uid="{1DA39059-9620-411E-8415-6938D5EEAC3E}"/>
    <cellStyle name="Normal 2 4 5 2 2 5 4" xfId="11045" xr:uid="{1AB95AF6-3217-45FD-BB98-BC6C0DC0AD2F}"/>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CE628827-796B-4CE2-8439-EDF466335E8A}"/>
    <cellStyle name="Normal 2 4 5 2 2 6 2 3" xfId="13603" xr:uid="{7C02BF59-7AE6-4671-9254-D39706451A54}"/>
    <cellStyle name="Normal 2 4 5 2 2 6 3" xfId="6349" xr:uid="{00000000-0005-0000-0000-00005B100000}"/>
    <cellStyle name="Normal 2 4 5 2 2 6 3 2" xfId="15675" xr:uid="{09BC7A37-6565-4886-9148-A1FFFE2A710B}"/>
    <cellStyle name="Normal 2 4 5 2 2 6 4" xfId="11458" xr:uid="{6C530DAE-1544-4750-A355-AA1E23C99347}"/>
    <cellStyle name="Normal 2 4 5 2 2 7" xfId="2479" xr:uid="{00000000-0005-0000-0000-00005C100000}"/>
    <cellStyle name="Normal 2 4 5 2 2 7 2" xfId="6762" xr:uid="{00000000-0005-0000-0000-00005D100000}"/>
    <cellStyle name="Normal 2 4 5 2 2 7 2 2" xfId="16088" xr:uid="{D9D4F54B-D61C-4DBB-AF8C-9AB6A8804A34}"/>
    <cellStyle name="Normal 2 4 5 2 2 7 3" xfId="11871" xr:uid="{21D7D837-7D5B-4F52-B17F-80BD9EB1E9EA}"/>
    <cellStyle name="Normal 2 4 5 2 2 8" xfId="4696" xr:uid="{00000000-0005-0000-0000-00005E100000}"/>
    <cellStyle name="Normal 2 4 5 2 2 8 2" xfId="14022" xr:uid="{B57B27E8-4FD3-4EF6-AB3F-FFFC50646542}"/>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A4ADDD6E-7A0D-4740-82EF-8A52FD15652D}"/>
    <cellStyle name="Normal 2 4 5 2 3 2 2 3" xfId="12366" xr:uid="{DF16F6B4-B7B3-4B3F-952B-CD88FB9F2C80}"/>
    <cellStyle name="Normal 2 4 5 2 3 2 3" xfId="5112" xr:uid="{00000000-0005-0000-0000-000063100000}"/>
    <cellStyle name="Normal 2 4 5 2 3 2 3 2" xfId="14438" xr:uid="{130FC204-898C-4238-85CF-B0D96B57B4FB}"/>
    <cellStyle name="Normal 2 4 5 2 3 2 4" xfId="9447" xr:uid="{5DAE67B2-15F6-4C7F-9310-B9C816D42F72}"/>
    <cellStyle name="Normal 2 4 5 2 3 2 5" xfId="10221" xr:uid="{28701200-B7D4-4FC4-89CF-F419F3CB01CE}"/>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CF3CD533-B142-406C-B2FA-66CAA5B296F3}"/>
    <cellStyle name="Normal 2 4 5 2 3 3 2 3" xfId="12779" xr:uid="{0139E569-C2C6-4B51-82D3-492F5F0EBC00}"/>
    <cellStyle name="Normal 2 4 5 2 3 3 3" xfId="5525" xr:uid="{00000000-0005-0000-0000-000067100000}"/>
    <cellStyle name="Normal 2 4 5 2 3 3 3 2" xfId="14851" xr:uid="{48EDB42D-913B-40DE-8C22-A7E9D150DE9C}"/>
    <cellStyle name="Normal 2 4 5 2 3 3 4" xfId="10634" xr:uid="{CA7772B2-B98B-4F7F-8236-23B9359F7E5B}"/>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C90E60FA-41FB-4E46-BA2C-A38882D292EF}"/>
    <cellStyle name="Normal 2 4 5 2 3 4 2 3" xfId="13192" xr:uid="{2333B745-C0CF-45F1-8A2B-5B7268254ABD}"/>
    <cellStyle name="Normal 2 4 5 2 3 4 3" xfId="5938" xr:uid="{00000000-0005-0000-0000-00006B100000}"/>
    <cellStyle name="Normal 2 4 5 2 3 4 3 2" xfId="15264" xr:uid="{F63AA746-F232-4B40-9392-7A834345A23A}"/>
    <cellStyle name="Normal 2 4 5 2 3 4 4" xfId="11047" xr:uid="{641A5273-A7A1-4C14-9D20-5ACECD9017EE}"/>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800966B9-658B-408B-8E2C-500AA5DC875D}"/>
    <cellStyle name="Normal 2 4 5 2 3 5 2 3" xfId="13605" xr:uid="{496FFE74-7706-4695-82C9-6D4E168536EB}"/>
    <cellStyle name="Normal 2 4 5 2 3 5 3" xfId="6351" xr:uid="{00000000-0005-0000-0000-00006F100000}"/>
    <cellStyle name="Normal 2 4 5 2 3 5 3 2" xfId="15677" xr:uid="{1C3FDDE1-1C83-4BE9-8604-25F763EDA50D}"/>
    <cellStyle name="Normal 2 4 5 2 3 5 4" xfId="11460" xr:uid="{56F5989E-6355-4FF1-8744-FD4598958A84}"/>
    <cellStyle name="Normal 2 4 5 2 3 6" xfId="2481" xr:uid="{00000000-0005-0000-0000-000070100000}"/>
    <cellStyle name="Normal 2 4 5 2 3 6 2" xfId="6764" xr:uid="{00000000-0005-0000-0000-000071100000}"/>
    <cellStyle name="Normal 2 4 5 2 3 6 2 2" xfId="16090" xr:uid="{6003E321-987A-45D0-AEFF-1A86046DF161}"/>
    <cellStyle name="Normal 2 4 5 2 3 6 3" xfId="11873" xr:uid="{310A77C6-0A97-491E-B26C-1715556AA556}"/>
    <cellStyle name="Normal 2 4 5 2 3 7" xfId="4698" xr:uid="{00000000-0005-0000-0000-000072100000}"/>
    <cellStyle name="Normal 2 4 5 2 3 7 2" xfId="14024" xr:uid="{7741973B-CC69-4F09-96C0-A4F74E7F3ABE}"/>
    <cellStyle name="Normal 2 4 5 2 3 8" xfId="9022" xr:uid="{B979F5DF-A88B-437D-B1B4-B92D08856DC7}"/>
    <cellStyle name="Normal 2 4 5 2 3 9" xfId="9807" xr:uid="{DA64AA3E-DEF1-48ED-A3FF-984771C85415}"/>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0684FAAC-52C8-4CCD-9D28-2DBC62ACC9E5}"/>
    <cellStyle name="Normal 2 4 5 2 4 2 3" xfId="12363" xr:uid="{99417690-B34D-4A82-B8AF-8EDAA413C098}"/>
    <cellStyle name="Normal 2 4 5 2 4 3" xfId="5109" xr:uid="{00000000-0005-0000-0000-000076100000}"/>
    <cellStyle name="Normal 2 4 5 2 4 3 2" xfId="14435" xr:uid="{7662A70A-D743-4482-9546-6A108A758D3E}"/>
    <cellStyle name="Normal 2 4 5 2 4 4" xfId="9240" xr:uid="{16FBE981-4867-4157-8C0D-9C1339DB5B3F}"/>
    <cellStyle name="Normal 2 4 5 2 4 5" xfId="10218" xr:uid="{1DBD5562-9C94-4615-B915-88618560B2F4}"/>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E9DDC93E-C1B3-4B4C-A875-9CA7C5624D39}"/>
    <cellStyle name="Normal 2 4 5 2 5 2 3" xfId="12776" xr:uid="{D643A097-637C-4C38-A6B4-A906755883EA}"/>
    <cellStyle name="Normal 2 4 5 2 5 3" xfId="5522" xr:uid="{00000000-0005-0000-0000-00007A100000}"/>
    <cellStyle name="Normal 2 4 5 2 5 3 2" xfId="14848" xr:uid="{26424853-77B0-42D7-B6EF-6229CCF885D9}"/>
    <cellStyle name="Normal 2 4 5 2 5 4" xfId="10631" xr:uid="{227E199B-CFCE-4A3A-8E24-5430624065BF}"/>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12455EFE-CED4-4593-96C9-5351E9954209}"/>
    <cellStyle name="Normal 2 4 5 2 6 2 3" xfId="13189" xr:uid="{AA546925-1776-4B66-A304-0C69B303F426}"/>
    <cellStyle name="Normal 2 4 5 2 6 3" xfId="5935" xr:uid="{00000000-0005-0000-0000-00007E100000}"/>
    <cellStyle name="Normal 2 4 5 2 6 3 2" xfId="15261" xr:uid="{DC5AF199-F5A0-4D67-82C2-948DAFDA1554}"/>
    <cellStyle name="Normal 2 4 5 2 6 4" xfId="11044" xr:uid="{A8FE648B-4B2D-4636-8FA0-DCBD2EAEA5AC}"/>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3056DF25-20ED-4AF8-85A4-16556135E60D}"/>
    <cellStyle name="Normal 2 4 5 2 7 2 3" xfId="13602" xr:uid="{7487A20D-0A32-4A3B-A78A-471ACA5A5B27}"/>
    <cellStyle name="Normal 2 4 5 2 7 3" xfId="6348" xr:uid="{00000000-0005-0000-0000-000082100000}"/>
    <cellStyle name="Normal 2 4 5 2 7 3 2" xfId="15674" xr:uid="{ADEC3C13-AEB2-44C1-8057-9A4233AFC62A}"/>
    <cellStyle name="Normal 2 4 5 2 7 4" xfId="11457" xr:uid="{88F18E4C-F557-4956-8E91-9582E927D90C}"/>
    <cellStyle name="Normal 2 4 5 2 8" xfId="2478" xr:uid="{00000000-0005-0000-0000-000083100000}"/>
    <cellStyle name="Normal 2 4 5 2 8 2" xfId="6761" xr:uid="{00000000-0005-0000-0000-000084100000}"/>
    <cellStyle name="Normal 2 4 5 2 8 2 2" xfId="16087" xr:uid="{836EAD62-8AB9-4CB0-A066-7362D5F37653}"/>
    <cellStyle name="Normal 2 4 5 2 8 3" xfId="11870" xr:uid="{9D72D876-BFED-46AD-AECB-B2AFC1FD0700}"/>
    <cellStyle name="Normal 2 4 5 2 9" xfId="4695" xr:uid="{00000000-0005-0000-0000-000085100000}"/>
    <cellStyle name="Normal 2 4 5 2 9 2" xfId="14021" xr:uid="{AB075881-E01B-441A-9F24-25FDED876FD0}"/>
    <cellStyle name="Normal 2 4 5 3" xfId="308" xr:uid="{00000000-0005-0000-0000-000086100000}"/>
    <cellStyle name="Normal 2 4 5 3 10" xfId="9808" xr:uid="{62A89E98-D12B-4F26-8A3A-90313923C3C2}"/>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DD68261A-E225-424C-809F-BC5310B95A0B}"/>
    <cellStyle name="Normal 2 4 5 3 2 2 2 3" xfId="12368" xr:uid="{3F167AC6-33AD-4341-ABDF-A228DB211FB0}"/>
    <cellStyle name="Normal 2 4 5 3 2 2 3" xfId="5114" xr:uid="{00000000-0005-0000-0000-00008B100000}"/>
    <cellStyle name="Normal 2 4 5 3 2 2 3 2" xfId="14440" xr:uid="{CFA68044-552E-459B-A654-7E0B5003E68A}"/>
    <cellStyle name="Normal 2 4 5 3 2 2 4" xfId="9515" xr:uid="{A1D6949C-773D-44DB-B26F-4DD01D24FF00}"/>
    <cellStyle name="Normal 2 4 5 3 2 2 5" xfId="10223" xr:uid="{011CC516-3A9E-41AD-8566-6FADEFDEE08A}"/>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B3A2166E-8725-4F5F-B100-B9062C77A153}"/>
    <cellStyle name="Normal 2 4 5 3 2 3 2 3" xfId="12781" xr:uid="{2EF0BD15-A4C2-4544-983F-22CE7026B578}"/>
    <cellStyle name="Normal 2 4 5 3 2 3 3" xfId="5527" xr:uid="{00000000-0005-0000-0000-00008F100000}"/>
    <cellStyle name="Normal 2 4 5 3 2 3 3 2" xfId="14853" xr:uid="{F93C49AB-8189-4B4C-A502-012A4B15A6F8}"/>
    <cellStyle name="Normal 2 4 5 3 2 3 4" xfId="10636" xr:uid="{F9783F54-722C-48B4-AD1D-0EE2F1D9FD7B}"/>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D5D8859A-EEDE-4E44-824D-0D6719A17941}"/>
    <cellStyle name="Normal 2 4 5 3 2 4 2 3" xfId="13194" xr:uid="{D04E0A8A-0A68-46F5-8496-C7342D2A452B}"/>
    <cellStyle name="Normal 2 4 5 3 2 4 3" xfId="5940" xr:uid="{00000000-0005-0000-0000-000093100000}"/>
    <cellStyle name="Normal 2 4 5 3 2 4 3 2" xfId="15266" xr:uid="{F168D356-30DC-471D-96BE-DEEC4FAC001D}"/>
    <cellStyle name="Normal 2 4 5 3 2 4 4" xfId="11049" xr:uid="{E1F38258-57C7-4F45-ABF4-28F65CF07DA5}"/>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56F14F93-60F6-4B73-B849-1235D459923E}"/>
    <cellStyle name="Normal 2 4 5 3 2 5 2 3" xfId="13607" xr:uid="{F6BB7881-550B-4AA6-80E6-742C5D3A2BA6}"/>
    <cellStyle name="Normal 2 4 5 3 2 5 3" xfId="6353" xr:uid="{00000000-0005-0000-0000-000097100000}"/>
    <cellStyle name="Normal 2 4 5 3 2 5 3 2" xfId="15679" xr:uid="{26FA8CDF-79FF-4CD7-ADD8-B1B1D61F1A4F}"/>
    <cellStyle name="Normal 2 4 5 3 2 5 4" xfId="11462" xr:uid="{AABB5031-E822-43F1-BE26-0AD7C5C2D45D}"/>
    <cellStyle name="Normal 2 4 5 3 2 6" xfId="2483" xr:uid="{00000000-0005-0000-0000-000098100000}"/>
    <cellStyle name="Normal 2 4 5 3 2 6 2" xfId="6766" xr:uid="{00000000-0005-0000-0000-000099100000}"/>
    <cellStyle name="Normal 2 4 5 3 2 6 2 2" xfId="16092" xr:uid="{E3BAB743-93D2-4169-9C78-BAF89F8806BE}"/>
    <cellStyle name="Normal 2 4 5 3 2 6 3" xfId="11875" xr:uid="{09B54292-9505-4DFE-803B-FCDEBB9E1AF2}"/>
    <cellStyle name="Normal 2 4 5 3 2 7" xfId="4700" xr:uid="{00000000-0005-0000-0000-00009A100000}"/>
    <cellStyle name="Normal 2 4 5 3 2 7 2" xfId="14026" xr:uid="{13B129E7-45CF-4C68-962E-E992D031BB4A}"/>
    <cellStyle name="Normal 2 4 5 3 2 8" xfId="9090" xr:uid="{4B64C5F8-5AC3-43D3-B94A-46850BBF79A5}"/>
    <cellStyle name="Normal 2 4 5 3 2 9" xfId="9809" xr:uid="{C666E932-17F4-4E8A-9D50-2FE37679B5EF}"/>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BF5E556D-C55A-4844-9839-CECCCC8498B4}"/>
    <cellStyle name="Normal 2 4 5 3 3 2 3" xfId="12367" xr:uid="{E62A8B5C-8932-4FDD-A858-35FF6F6134B3}"/>
    <cellStyle name="Normal 2 4 5 3 3 3" xfId="5113" xr:uid="{00000000-0005-0000-0000-00009E100000}"/>
    <cellStyle name="Normal 2 4 5 3 3 3 2" xfId="14439" xr:uid="{F6898975-4069-4FC4-B561-C7DFD2937D56}"/>
    <cellStyle name="Normal 2 4 5 3 3 4" xfId="9308" xr:uid="{40198FFA-4C90-42BE-90C8-42459F1A2A1C}"/>
    <cellStyle name="Normal 2 4 5 3 3 5" xfId="10222" xr:uid="{E37B81E5-5303-4667-8825-D443452D366A}"/>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EE239E5E-C714-472B-89E5-C78D0050F486}"/>
    <cellStyle name="Normal 2 4 5 3 4 2 3" xfId="12780" xr:uid="{15E39EBD-7272-487E-9CC4-73DB9475D3F8}"/>
    <cellStyle name="Normal 2 4 5 3 4 3" xfId="5526" xr:uid="{00000000-0005-0000-0000-0000A2100000}"/>
    <cellStyle name="Normal 2 4 5 3 4 3 2" xfId="14852" xr:uid="{9D65BE23-DD75-4E2F-A812-B9DCFB20D546}"/>
    <cellStyle name="Normal 2 4 5 3 4 4" xfId="10635" xr:uid="{53F74B30-9EF7-4F23-B67B-14CF6D5EBFBB}"/>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E620FF93-A446-49C3-86D1-7AD215C5CD5D}"/>
    <cellStyle name="Normal 2 4 5 3 5 2 3" xfId="13193" xr:uid="{1FE954AB-B5AE-4DE9-B89A-834BC86EB555}"/>
    <cellStyle name="Normal 2 4 5 3 5 3" xfId="5939" xr:uid="{00000000-0005-0000-0000-0000A6100000}"/>
    <cellStyle name="Normal 2 4 5 3 5 3 2" xfId="15265" xr:uid="{0C6E303E-73F7-47F7-A65F-FA990DCB9265}"/>
    <cellStyle name="Normal 2 4 5 3 5 4" xfId="11048" xr:uid="{AC3ABF58-A344-420E-AB06-6B0A05D3D2A9}"/>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8C90331A-C5F4-4404-A9FD-97AAFFAE2549}"/>
    <cellStyle name="Normal 2 4 5 3 6 2 3" xfId="13606" xr:uid="{77933AA7-C30A-4505-ACDE-89402CF1EFAF}"/>
    <cellStyle name="Normal 2 4 5 3 6 3" xfId="6352" xr:uid="{00000000-0005-0000-0000-0000AA100000}"/>
    <cellStyle name="Normal 2 4 5 3 6 3 2" xfId="15678" xr:uid="{C34B3F41-4B0D-403C-BC5C-303052EDF6BC}"/>
    <cellStyle name="Normal 2 4 5 3 6 4" xfId="11461" xr:uid="{E9BD7E8D-002A-4D8D-A0ED-85D11058A547}"/>
    <cellStyle name="Normal 2 4 5 3 7" xfId="2482" xr:uid="{00000000-0005-0000-0000-0000AB100000}"/>
    <cellStyle name="Normal 2 4 5 3 7 2" xfId="6765" xr:uid="{00000000-0005-0000-0000-0000AC100000}"/>
    <cellStyle name="Normal 2 4 5 3 7 2 2" xfId="16091" xr:uid="{E9804416-9AF2-4FFB-A575-0EB86976AF31}"/>
    <cellStyle name="Normal 2 4 5 3 7 3" xfId="11874" xr:uid="{41C71777-D943-4FC3-9167-17B4739F35F4}"/>
    <cellStyle name="Normal 2 4 5 3 8" xfId="4699" xr:uid="{00000000-0005-0000-0000-0000AD100000}"/>
    <cellStyle name="Normal 2 4 5 3 8 2" xfId="14025" xr:uid="{44762AC0-6B6E-4326-B740-137A01E6BF55}"/>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7AD199B3-3698-4913-A174-E00AC8BA9DE6}"/>
    <cellStyle name="Normal 2 4 5 4 2 2 3" xfId="12369" xr:uid="{59A18E55-B616-4DB3-ACD4-B396BD6B450A}"/>
    <cellStyle name="Normal 2 4 5 4 2 3" xfId="5115" xr:uid="{00000000-0005-0000-0000-0000B2100000}"/>
    <cellStyle name="Normal 2 4 5 4 2 3 2" xfId="14441" xr:uid="{B836931E-6614-4747-BE23-3FAFA757AA5D}"/>
    <cellStyle name="Normal 2 4 5 4 2 4" xfId="9412" xr:uid="{0ECAC303-3EA0-4623-AA0F-854157CA32E5}"/>
    <cellStyle name="Normal 2 4 5 4 2 5" xfId="10224" xr:uid="{2EFEDB85-D6C7-4AC7-8C40-9C788AA3C3A0}"/>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EEAAF11C-47F4-42BC-985E-DD1C5985FBE6}"/>
    <cellStyle name="Normal 2 4 5 4 3 2 3" xfId="12782" xr:uid="{8EF2ED60-E658-41F1-B204-FA5287C12021}"/>
    <cellStyle name="Normal 2 4 5 4 3 3" xfId="5528" xr:uid="{00000000-0005-0000-0000-0000B6100000}"/>
    <cellStyle name="Normal 2 4 5 4 3 3 2" xfId="14854" xr:uid="{28B272EC-3E66-4325-BC99-0E2A53EAFB97}"/>
    <cellStyle name="Normal 2 4 5 4 3 4" xfId="10637" xr:uid="{79DAB3BB-1D02-4AD8-98A9-7DA956728C9A}"/>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201209EA-5379-4AB8-B6B0-079A5AD4D2E1}"/>
    <cellStyle name="Normal 2 4 5 4 4 2 3" xfId="13195" xr:uid="{65ADAE49-D628-4418-8752-CAE38BC457F1}"/>
    <cellStyle name="Normal 2 4 5 4 4 3" xfId="5941" xr:uid="{00000000-0005-0000-0000-0000BA100000}"/>
    <cellStyle name="Normal 2 4 5 4 4 3 2" xfId="15267" xr:uid="{1694D62D-AE65-4381-AE5E-773215A808A0}"/>
    <cellStyle name="Normal 2 4 5 4 4 4" xfId="11050" xr:uid="{8C3CC3AD-B7CE-40D3-AC6D-5214F99723FD}"/>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6DF9FC60-D606-4A49-8FA5-0DA127CBFC8D}"/>
    <cellStyle name="Normal 2 4 5 4 5 2 3" xfId="13608" xr:uid="{2A55EE31-FC19-4341-B464-DC063C858CE1}"/>
    <cellStyle name="Normal 2 4 5 4 5 3" xfId="6354" xr:uid="{00000000-0005-0000-0000-0000BE100000}"/>
    <cellStyle name="Normal 2 4 5 4 5 3 2" xfId="15680" xr:uid="{914DD0DA-A21F-4CB3-80B7-A7139B2EBF94}"/>
    <cellStyle name="Normal 2 4 5 4 5 4" xfId="11463" xr:uid="{90DDE9F2-8607-44FA-9DEA-39652CE628DB}"/>
    <cellStyle name="Normal 2 4 5 4 6" xfId="2484" xr:uid="{00000000-0005-0000-0000-0000BF100000}"/>
    <cellStyle name="Normal 2 4 5 4 6 2" xfId="6767" xr:uid="{00000000-0005-0000-0000-0000C0100000}"/>
    <cellStyle name="Normal 2 4 5 4 6 2 2" xfId="16093" xr:uid="{25360FF0-409C-48AB-A26D-E616BA31E6B6}"/>
    <cellStyle name="Normal 2 4 5 4 6 3" xfId="11876" xr:uid="{A6923BEE-4F19-4FC3-812C-62DA2BDAEA6D}"/>
    <cellStyle name="Normal 2 4 5 4 7" xfId="4701" xr:uid="{00000000-0005-0000-0000-0000C1100000}"/>
    <cellStyle name="Normal 2 4 5 4 7 2" xfId="14027" xr:uid="{2B640AEE-7D2B-4E63-B4CC-20E07EC7AB54}"/>
    <cellStyle name="Normal 2 4 5 4 8" xfId="8987" xr:uid="{8DC2C01A-3078-41AD-BCFB-AA1CA8EE9C0A}"/>
    <cellStyle name="Normal 2 4 5 4 9" xfId="9810" xr:uid="{455648A8-B79C-4731-91B7-31C6011294F6}"/>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997F6C0D-BBCF-494A-AB6F-7729B809996C}"/>
    <cellStyle name="Normal 2 4 5 5 2 3" xfId="12362" xr:uid="{AF0317F7-6806-4E97-88D8-3B83F2DFD7AB}"/>
    <cellStyle name="Normal 2 4 5 5 3" xfId="5108" xr:uid="{00000000-0005-0000-0000-0000C5100000}"/>
    <cellStyle name="Normal 2 4 5 5 3 2" xfId="14434" xr:uid="{EEEBB410-11C8-4EC1-8813-4FBFEBCD76D2}"/>
    <cellStyle name="Normal 2 4 5 5 4" xfId="9204" xr:uid="{BE34B337-03EE-47D8-9E35-2EE6FAB30236}"/>
    <cellStyle name="Normal 2 4 5 5 5" xfId="10217" xr:uid="{04BAE819-AA35-427F-B5DA-E590878FC85D}"/>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FBBE69E4-7D8D-4808-87D4-63B42CC864CB}"/>
    <cellStyle name="Normal 2 4 5 6 2 3" xfId="12775" xr:uid="{A329915A-E87D-48D0-A464-17FDBA7B47FF}"/>
    <cellStyle name="Normal 2 4 5 6 3" xfId="5521" xr:uid="{00000000-0005-0000-0000-0000C9100000}"/>
    <cellStyle name="Normal 2 4 5 6 3 2" xfId="14847" xr:uid="{2C8952FA-8678-443F-B5B8-6F3362EAAF37}"/>
    <cellStyle name="Normal 2 4 5 6 4" xfId="10630" xr:uid="{180A1D57-76F0-401A-A618-B047437404C2}"/>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8AC6AA91-ADA9-4FFC-81E5-28FBB71E9107}"/>
    <cellStyle name="Normal 2 4 5 7 2 3" xfId="13188" xr:uid="{145082DF-C4AF-4D97-A32E-AEEB39BCC4BE}"/>
    <cellStyle name="Normal 2 4 5 7 3" xfId="5934" xr:uid="{00000000-0005-0000-0000-0000CD100000}"/>
    <cellStyle name="Normal 2 4 5 7 3 2" xfId="15260" xr:uid="{F669E8C5-EE6B-45D0-AF7D-BD4144FFD2EC}"/>
    <cellStyle name="Normal 2 4 5 7 4" xfId="11043" xr:uid="{969C8386-AC8C-48F4-A5B9-1430E2CFA451}"/>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DBDA7188-0C50-4E96-9EFA-8BB175ABEBDF}"/>
    <cellStyle name="Normal 2 4 5 8 2 3" xfId="13601" xr:uid="{DA6D1473-CCBC-4FC8-A59F-9D39676439B3}"/>
    <cellStyle name="Normal 2 4 5 8 3" xfId="6347" xr:uid="{00000000-0005-0000-0000-0000D1100000}"/>
    <cellStyle name="Normal 2 4 5 8 3 2" xfId="15673" xr:uid="{8E7C30BE-EAA2-45A5-B475-55B06777F9D0}"/>
    <cellStyle name="Normal 2 4 5 8 4" xfId="11456" xr:uid="{136DF66B-2E1E-4905-BB9F-569F12943335}"/>
    <cellStyle name="Normal 2 4 5 9" xfId="2477" xr:uid="{00000000-0005-0000-0000-0000D2100000}"/>
    <cellStyle name="Normal 2 4 5 9 2" xfId="6760" xr:uid="{00000000-0005-0000-0000-0000D3100000}"/>
    <cellStyle name="Normal 2 4 5 9 2 2" xfId="16086" xr:uid="{23041532-570B-48A5-9710-AEB8A38C9D88}"/>
    <cellStyle name="Normal 2 4 5 9 3" xfId="11869" xr:uid="{C324E897-07FC-4726-A0E4-79A91A9BD58A}"/>
    <cellStyle name="Normal 2 4 6" xfId="311" xr:uid="{00000000-0005-0000-0000-0000D4100000}"/>
    <cellStyle name="Normal 2 4 7" xfId="312" xr:uid="{00000000-0005-0000-0000-0000D5100000}"/>
    <cellStyle name="Normal 2 4 7 10" xfId="9811" xr:uid="{0CB413CB-E937-42CF-8889-3111AF667FCB}"/>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7180258D-BCFA-4AE3-98D2-2DE5F645DFCB}"/>
    <cellStyle name="Normal 2 4 7 2 2 2 3" xfId="12371" xr:uid="{224698C5-C234-4F85-AA18-D24558923983}"/>
    <cellStyle name="Normal 2 4 7 2 2 3" xfId="5117" xr:uid="{00000000-0005-0000-0000-0000DA100000}"/>
    <cellStyle name="Normal 2 4 7 2 2 3 2" xfId="14443" xr:uid="{2CA9CC51-89D1-43E9-98E2-D76E905F2A6D}"/>
    <cellStyle name="Normal 2 4 7 2 2 4" xfId="9483" xr:uid="{3D7EFF6F-050D-4214-91CB-DF2673F23584}"/>
    <cellStyle name="Normal 2 4 7 2 2 5" xfId="10226" xr:uid="{768E48EE-2948-4CC4-9BDC-C699F1BD391B}"/>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5267280D-348B-4B3E-BE80-13D7B61DACFD}"/>
    <cellStyle name="Normal 2 4 7 2 3 2 3" xfId="12784" xr:uid="{C2980474-4DAC-4D22-A829-557BF56A1853}"/>
    <cellStyle name="Normal 2 4 7 2 3 3" xfId="5530" xr:uid="{00000000-0005-0000-0000-0000DE100000}"/>
    <cellStyle name="Normal 2 4 7 2 3 3 2" xfId="14856" xr:uid="{80E718EF-4740-485A-8220-647A07309C61}"/>
    <cellStyle name="Normal 2 4 7 2 3 4" xfId="10639" xr:uid="{0C908DF6-1950-4BFD-BA59-254624741B2A}"/>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5C319321-E61B-479F-A759-F0C07DA87DFF}"/>
    <cellStyle name="Normal 2 4 7 2 4 2 3" xfId="13197" xr:uid="{EEC6A264-15B3-42F8-A8FF-AA27DBA02A28}"/>
    <cellStyle name="Normal 2 4 7 2 4 3" xfId="5943" xr:uid="{00000000-0005-0000-0000-0000E2100000}"/>
    <cellStyle name="Normal 2 4 7 2 4 3 2" xfId="15269" xr:uid="{0ADAE04B-728F-4EAF-B016-9E9D268C2C10}"/>
    <cellStyle name="Normal 2 4 7 2 4 4" xfId="11052" xr:uid="{9B553B1D-8748-4038-9AD8-0F58FE16B39A}"/>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3D5A3E44-5339-4A53-BC8A-47CA940D6094}"/>
    <cellStyle name="Normal 2 4 7 2 5 2 3" xfId="13610" xr:uid="{AD51F233-6B91-4D6A-AF71-6E4B45370C32}"/>
    <cellStyle name="Normal 2 4 7 2 5 3" xfId="6356" xr:uid="{00000000-0005-0000-0000-0000E6100000}"/>
    <cellStyle name="Normal 2 4 7 2 5 3 2" xfId="15682" xr:uid="{0DC8E72B-76B3-425B-96D5-41F9AAF2E312}"/>
    <cellStyle name="Normal 2 4 7 2 5 4" xfId="11465" xr:uid="{FE8779DE-1804-4A37-84B3-FE77313C7FDA}"/>
    <cellStyle name="Normal 2 4 7 2 6" xfId="2486" xr:uid="{00000000-0005-0000-0000-0000E7100000}"/>
    <cellStyle name="Normal 2 4 7 2 6 2" xfId="6769" xr:uid="{00000000-0005-0000-0000-0000E8100000}"/>
    <cellStyle name="Normal 2 4 7 2 6 2 2" xfId="16095" xr:uid="{7E4A229D-3634-455C-8757-AADA0EA53F95}"/>
    <cellStyle name="Normal 2 4 7 2 6 3" xfId="11878" xr:uid="{A0B2473D-6E29-4B93-9E16-B5B7ED5BF987}"/>
    <cellStyle name="Normal 2 4 7 2 7" xfId="4703" xr:uid="{00000000-0005-0000-0000-0000E9100000}"/>
    <cellStyle name="Normal 2 4 7 2 7 2" xfId="14029" xr:uid="{2B9D622D-766E-4E3B-9C7F-0709698E11BA}"/>
    <cellStyle name="Normal 2 4 7 2 8" xfId="9058" xr:uid="{FCEC438E-EF6A-4A00-BFE3-0DA309169A82}"/>
    <cellStyle name="Normal 2 4 7 2 9" xfId="9812" xr:uid="{8202ADBA-26D7-4C2C-B965-187DF8DE1F0B}"/>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5B9C2809-4F1E-4E5D-984D-E1410F711755}"/>
    <cellStyle name="Normal 2 4 7 3 2 3" xfId="12370" xr:uid="{DFF2B8ED-6BED-49AC-869F-597D5D7E1A0F}"/>
    <cellStyle name="Normal 2 4 7 3 3" xfId="5116" xr:uid="{00000000-0005-0000-0000-0000ED100000}"/>
    <cellStyle name="Normal 2 4 7 3 3 2" xfId="14442" xr:uid="{36FB5927-6296-4D79-A36E-C4F203A0B2D9}"/>
    <cellStyle name="Normal 2 4 7 3 4" xfId="9276" xr:uid="{90A81E61-1719-41E4-8673-7681E805C2E0}"/>
    <cellStyle name="Normal 2 4 7 3 5" xfId="10225" xr:uid="{89D55E34-3F06-4032-9B8B-4175091277B8}"/>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389D8DAC-2D6C-4EDD-8915-65B239C59940}"/>
    <cellStyle name="Normal 2 4 7 4 2 3" xfId="12783" xr:uid="{783B1EC7-089F-4800-B552-D0E525C3973B}"/>
    <cellStyle name="Normal 2 4 7 4 3" xfId="5529" xr:uid="{00000000-0005-0000-0000-0000F1100000}"/>
    <cellStyle name="Normal 2 4 7 4 3 2" xfId="14855" xr:uid="{0C688612-3F6A-4BAE-848C-21B2D451619D}"/>
    <cellStyle name="Normal 2 4 7 4 4" xfId="10638" xr:uid="{D403C817-161A-48EA-99C2-B10062FB4586}"/>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6E55E3A5-C22F-46AC-A68F-4710A64B3FFE}"/>
    <cellStyle name="Normal 2 4 7 5 2 3" xfId="13196" xr:uid="{721AB96F-5B4A-4FE9-A439-485A81970C52}"/>
    <cellStyle name="Normal 2 4 7 5 3" xfId="5942" xr:uid="{00000000-0005-0000-0000-0000F5100000}"/>
    <cellStyle name="Normal 2 4 7 5 3 2" xfId="15268" xr:uid="{0FAB89A9-8028-493E-BC9F-705E7375D1DD}"/>
    <cellStyle name="Normal 2 4 7 5 4" xfId="11051" xr:uid="{2B5B1CC0-0FB7-4F0B-9FF3-8A1C833B7F52}"/>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5437A88A-BD37-4D9A-B01E-1A965123F2A0}"/>
    <cellStyle name="Normal 2 4 7 6 2 3" xfId="13609" xr:uid="{71FAC74C-B175-4747-84A8-D9DCAAA204E2}"/>
    <cellStyle name="Normal 2 4 7 6 3" xfId="6355" xr:uid="{00000000-0005-0000-0000-0000F9100000}"/>
    <cellStyle name="Normal 2 4 7 6 3 2" xfId="15681" xr:uid="{9C2AC547-F3B7-40F9-A4DA-60F7ADA309DC}"/>
    <cellStyle name="Normal 2 4 7 6 4" xfId="11464" xr:uid="{F9027232-4FC6-461F-BFFD-2899505549F1}"/>
    <cellStyle name="Normal 2 4 7 7" xfId="2485" xr:uid="{00000000-0005-0000-0000-0000FA100000}"/>
    <cellStyle name="Normal 2 4 7 7 2" xfId="6768" xr:uid="{00000000-0005-0000-0000-0000FB100000}"/>
    <cellStyle name="Normal 2 4 7 7 2 2" xfId="16094" xr:uid="{4AE211B7-D281-4CE1-B78E-65B35432796F}"/>
    <cellStyle name="Normal 2 4 7 7 3" xfId="11877" xr:uid="{7F55295F-D0C6-445F-9947-37303B0966AD}"/>
    <cellStyle name="Normal 2 4 7 8" xfId="4702" xr:uid="{00000000-0005-0000-0000-0000FC100000}"/>
    <cellStyle name="Normal 2 4 7 8 2" xfId="14028" xr:uid="{48C8C487-8680-4C80-B693-C57DF49E5E53}"/>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3DAFEA06-0196-4263-B0DD-BF54B85164A6}"/>
    <cellStyle name="Normal 2 4 8 2 2 3" xfId="12372" xr:uid="{3CBC1C8F-61BA-4FA4-9E18-BE4B6CAEFF48}"/>
    <cellStyle name="Normal 2 4 8 2 3" xfId="5118" xr:uid="{00000000-0005-0000-0000-000001110000}"/>
    <cellStyle name="Normal 2 4 8 2 3 2" xfId="14444" xr:uid="{4E748966-9F30-44EC-9DAD-E716550FF469}"/>
    <cellStyle name="Normal 2 4 8 2 4" xfId="9392" xr:uid="{812B973E-E5C9-43CD-85B0-C8CA30BD9BF3}"/>
    <cellStyle name="Normal 2 4 8 2 5" xfId="10227" xr:uid="{3D1F741B-259C-4220-8F78-15554DB14724}"/>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8FD51A7B-1C5B-4760-B912-B852CF7F9816}"/>
    <cellStyle name="Normal 2 4 8 3 2 3" xfId="12785" xr:uid="{9CB06456-DB09-4E20-B03A-ED92EC19D73E}"/>
    <cellStyle name="Normal 2 4 8 3 3" xfId="5531" xr:uid="{00000000-0005-0000-0000-000005110000}"/>
    <cellStyle name="Normal 2 4 8 3 3 2" xfId="14857" xr:uid="{0DE55BF1-1EB1-47A8-9DCA-8ED17D45D11E}"/>
    <cellStyle name="Normal 2 4 8 3 4" xfId="10640" xr:uid="{96F51B01-F4AC-41D5-894D-6C30A7C950CB}"/>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328D3E28-D5C0-42BA-A838-2C975AB2BD54}"/>
    <cellStyle name="Normal 2 4 8 4 2 3" xfId="13198" xr:uid="{80607F05-5E6C-4A44-98C4-05E56CBC585F}"/>
    <cellStyle name="Normal 2 4 8 4 3" xfId="5944" xr:uid="{00000000-0005-0000-0000-000009110000}"/>
    <cellStyle name="Normal 2 4 8 4 3 2" xfId="15270" xr:uid="{98FDAE25-C0BA-492B-8E38-0E7AE84B5BF3}"/>
    <cellStyle name="Normal 2 4 8 4 4" xfId="11053" xr:uid="{52285AA0-38CB-4458-84A9-DC7D9D44F320}"/>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26B106A5-20C3-4523-ABFD-89A1E9539325}"/>
    <cellStyle name="Normal 2 4 8 5 2 3" xfId="13611" xr:uid="{01366E9E-CB52-4A17-BED0-C52E8FB8B0C6}"/>
    <cellStyle name="Normal 2 4 8 5 3" xfId="6357" xr:uid="{00000000-0005-0000-0000-00000D110000}"/>
    <cellStyle name="Normal 2 4 8 5 3 2" xfId="15683" xr:uid="{6C13F8CA-F3F8-499B-866F-AF85A09C8816}"/>
    <cellStyle name="Normal 2 4 8 5 4" xfId="11466" xr:uid="{3A308E3C-FD36-4EBE-A46F-A746A04E861E}"/>
    <cellStyle name="Normal 2 4 8 6" xfId="2487" xr:uid="{00000000-0005-0000-0000-00000E110000}"/>
    <cellStyle name="Normal 2 4 8 6 2" xfId="6770" xr:uid="{00000000-0005-0000-0000-00000F110000}"/>
    <cellStyle name="Normal 2 4 8 6 2 2" xfId="16096" xr:uid="{F910D9B8-D449-4881-8A1C-B2F08F67ADB7}"/>
    <cellStyle name="Normal 2 4 8 6 3" xfId="11879" xr:uid="{3E158C51-4FB5-441E-AEB4-9CA77A0484FF}"/>
    <cellStyle name="Normal 2 4 8 7" xfId="4704" xr:uid="{00000000-0005-0000-0000-000010110000}"/>
    <cellStyle name="Normal 2 4 8 7 2" xfId="14030" xr:uid="{63CE5644-1E6F-4E29-964C-8ECDA8700CED}"/>
    <cellStyle name="Normal 2 4 8 8" xfId="8967" xr:uid="{32AC97CD-D3FD-4AE1-A8B2-07BEA9D5DE52}"/>
    <cellStyle name="Normal 2 4 8 9" xfId="9813" xr:uid="{FC8E64FC-39ED-40B6-AB42-1E8DDB690C2C}"/>
    <cellStyle name="Normal 2 4 9" xfId="9170" xr:uid="{5569C060-E090-4551-A44D-517EC3FD1834}"/>
    <cellStyle name="Normal 2 5" xfId="315" xr:uid="{00000000-0005-0000-0000-000011110000}"/>
    <cellStyle name="Normal 2 5 10" xfId="4705" xr:uid="{00000000-0005-0000-0000-000012110000}"/>
    <cellStyle name="Normal 2 5 10 2" xfId="14031" xr:uid="{4AA1B77B-2444-4995-BB9F-B6180DFF873E}"/>
    <cellStyle name="Normal 2 5 11" xfId="9814" xr:uid="{3EB271FE-0019-4482-B28B-A3E5C3885513}"/>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40B9E062-29E9-41EB-9B30-807074D6F7E4}"/>
    <cellStyle name="Normal 2 5 4 2" xfId="319" xr:uid="{00000000-0005-0000-0000-000016110000}"/>
    <cellStyle name="Normal 2 5 4 2 10" xfId="9816" xr:uid="{F8D904AF-F869-4927-83DC-BAF55095B139}"/>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3D94A469-0225-4B7E-8782-69CB71ACD913}"/>
    <cellStyle name="Normal 2 5 4 2 2 2 2 3" xfId="12376" xr:uid="{2FCAFD23-43EF-4EB9-9B69-AE6A703E83FD}"/>
    <cellStyle name="Normal 2 5 4 2 2 2 3" xfId="5122" xr:uid="{00000000-0005-0000-0000-00001B110000}"/>
    <cellStyle name="Normal 2 5 4 2 2 2 3 2" xfId="14448" xr:uid="{051B88A9-6897-40B0-BAC0-00231367B4EE}"/>
    <cellStyle name="Normal 2 5 4 2 2 2 4" xfId="9551" xr:uid="{392D7741-6781-4EA5-9C28-040053C1B05B}"/>
    <cellStyle name="Normal 2 5 4 2 2 2 5" xfId="10231" xr:uid="{7E4C95FA-415F-433D-9FA1-3DDC823D8D24}"/>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8BDDA758-6397-402D-9DE9-752945D28832}"/>
    <cellStyle name="Normal 2 5 4 2 2 3 2 3" xfId="12789" xr:uid="{79081621-A0AC-48E0-B710-B720E18D723F}"/>
    <cellStyle name="Normal 2 5 4 2 2 3 3" xfId="5535" xr:uid="{00000000-0005-0000-0000-00001F110000}"/>
    <cellStyle name="Normal 2 5 4 2 2 3 3 2" xfId="14861" xr:uid="{C0EF0F7E-967A-44A6-B476-04BDE0CCE446}"/>
    <cellStyle name="Normal 2 5 4 2 2 3 4" xfId="10644" xr:uid="{079598D3-C268-4F4B-AA15-836D163D656B}"/>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2F4CC8E5-82AC-4455-A186-5294BA12E700}"/>
    <cellStyle name="Normal 2 5 4 2 2 4 2 3" xfId="13202" xr:uid="{1A9F110C-2221-439E-913B-F4168F144799}"/>
    <cellStyle name="Normal 2 5 4 2 2 4 3" xfId="5948" xr:uid="{00000000-0005-0000-0000-000023110000}"/>
    <cellStyle name="Normal 2 5 4 2 2 4 3 2" xfId="15274" xr:uid="{B335C460-32F3-4F64-86A6-EB2878D35F4A}"/>
    <cellStyle name="Normal 2 5 4 2 2 4 4" xfId="11057" xr:uid="{73CFFB59-B22A-4F6C-971D-CEDE75FC3F11}"/>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9FAC2F33-357B-4CDB-BC89-F1A1DD96A82C}"/>
    <cellStyle name="Normal 2 5 4 2 2 5 2 3" xfId="13615" xr:uid="{52E5C7AC-03C8-4D12-8402-2BDCBEBFEA0B}"/>
    <cellStyle name="Normal 2 5 4 2 2 5 3" xfId="6361" xr:uid="{00000000-0005-0000-0000-000027110000}"/>
    <cellStyle name="Normal 2 5 4 2 2 5 3 2" xfId="15687" xr:uid="{FA2DB72D-D016-44D5-8430-B0810F7A6F32}"/>
    <cellStyle name="Normal 2 5 4 2 2 5 4" xfId="11470" xr:uid="{30853332-4229-4BF5-8CBD-B6EC2185C9DF}"/>
    <cellStyle name="Normal 2 5 4 2 2 6" xfId="2491" xr:uid="{00000000-0005-0000-0000-000028110000}"/>
    <cellStyle name="Normal 2 5 4 2 2 6 2" xfId="6774" xr:uid="{00000000-0005-0000-0000-000029110000}"/>
    <cellStyle name="Normal 2 5 4 2 2 6 2 2" xfId="16100" xr:uid="{B8431E6C-912A-4998-8E0B-28F105889F22}"/>
    <cellStyle name="Normal 2 5 4 2 2 6 3" xfId="11883" xr:uid="{6DEDB9A6-C635-4634-B578-403C0B69B23C}"/>
    <cellStyle name="Normal 2 5 4 2 2 7" xfId="4708" xr:uid="{00000000-0005-0000-0000-00002A110000}"/>
    <cellStyle name="Normal 2 5 4 2 2 7 2" xfId="14034" xr:uid="{683F2767-5F70-4292-81A3-FC427D267C96}"/>
    <cellStyle name="Normal 2 5 4 2 2 8" xfId="9126" xr:uid="{C2CF4AFD-4082-4555-941B-6E9759C32D63}"/>
    <cellStyle name="Normal 2 5 4 2 2 9" xfId="9817" xr:uid="{C7DE62F3-F451-4EAB-8059-8A3414A5D92F}"/>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32A0323A-FEAE-4F1D-B0A6-55EABF40DF90}"/>
    <cellStyle name="Normal 2 5 4 2 3 2 3" xfId="12375" xr:uid="{6F5BE048-C336-44B0-840C-BBC4EB7A778E}"/>
    <cellStyle name="Normal 2 5 4 2 3 3" xfId="5121" xr:uid="{00000000-0005-0000-0000-00002E110000}"/>
    <cellStyle name="Normal 2 5 4 2 3 3 2" xfId="14447" xr:uid="{57B483A0-5959-4B4E-AD5E-12A67905C2BD}"/>
    <cellStyle name="Normal 2 5 4 2 3 4" xfId="9344" xr:uid="{207B8A34-09D9-4349-A9C7-5A5A998C6B6F}"/>
    <cellStyle name="Normal 2 5 4 2 3 5" xfId="10230" xr:uid="{69391C54-E96C-4F5D-9688-4C6191C2CFB6}"/>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F4DE0C69-12DB-42A8-984E-5EA678CC2FC9}"/>
    <cellStyle name="Normal 2 5 4 2 4 2 3" xfId="12788" xr:uid="{7464E27C-2645-4AA5-9761-8B22C792A39D}"/>
    <cellStyle name="Normal 2 5 4 2 4 3" xfId="5534" xr:uid="{00000000-0005-0000-0000-000032110000}"/>
    <cellStyle name="Normal 2 5 4 2 4 3 2" xfId="14860" xr:uid="{464B72D8-3F14-4437-A3C3-F8E5B78DE3E8}"/>
    <cellStyle name="Normal 2 5 4 2 4 4" xfId="10643" xr:uid="{E54A99FE-1581-42BC-998A-E416B3B9D078}"/>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D8C641AC-89AA-415C-BA7F-00B7C864DCF1}"/>
    <cellStyle name="Normal 2 5 4 2 5 2 3" xfId="13201" xr:uid="{C03E6E64-3DA7-4301-8279-AAD29289C350}"/>
    <cellStyle name="Normal 2 5 4 2 5 3" xfId="5947" xr:uid="{00000000-0005-0000-0000-000036110000}"/>
    <cellStyle name="Normal 2 5 4 2 5 3 2" xfId="15273" xr:uid="{85BF126B-35F0-4892-8B75-D1E9252755DA}"/>
    <cellStyle name="Normal 2 5 4 2 5 4" xfId="11056" xr:uid="{8F18B8B4-EC06-4FD0-9D06-D4C771241CEA}"/>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61AA7CD2-E544-43A3-8CC8-7DF6F92484E8}"/>
    <cellStyle name="Normal 2 5 4 2 6 2 3" xfId="13614" xr:uid="{AD388D37-AA15-497B-810A-12525FD8AE12}"/>
    <cellStyle name="Normal 2 5 4 2 6 3" xfId="6360" xr:uid="{00000000-0005-0000-0000-00003A110000}"/>
    <cellStyle name="Normal 2 5 4 2 6 3 2" xfId="15686" xr:uid="{EA2D19D0-0317-4B4A-8917-FDAE9C83C79E}"/>
    <cellStyle name="Normal 2 5 4 2 6 4" xfId="11469" xr:uid="{1B7F86E2-D943-4CD6-A6A4-FD7798D1FDA9}"/>
    <cellStyle name="Normal 2 5 4 2 7" xfId="2490" xr:uid="{00000000-0005-0000-0000-00003B110000}"/>
    <cellStyle name="Normal 2 5 4 2 7 2" xfId="6773" xr:uid="{00000000-0005-0000-0000-00003C110000}"/>
    <cellStyle name="Normal 2 5 4 2 7 2 2" xfId="16099" xr:uid="{2AC968D4-4835-4990-9833-7438088E498A}"/>
    <cellStyle name="Normal 2 5 4 2 7 3" xfId="11882" xr:uid="{D9ACEA2E-E903-4E64-92C0-F303619DE312}"/>
    <cellStyle name="Normal 2 5 4 2 8" xfId="4707" xr:uid="{00000000-0005-0000-0000-00003D110000}"/>
    <cellStyle name="Normal 2 5 4 2 8 2" xfId="14033" xr:uid="{A4D84E7C-D203-48B3-87A2-0810356EF73F}"/>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29B4B0CB-34DD-4743-A81A-BA3D1A93D916}"/>
    <cellStyle name="Normal 2 5 4 3 2 2 3" xfId="12377" xr:uid="{47B645FD-2ABD-481C-B171-63F5F81BECCE}"/>
    <cellStyle name="Normal 2 5 4 3 2 3" xfId="5123" xr:uid="{00000000-0005-0000-0000-000042110000}"/>
    <cellStyle name="Normal 2 5 4 3 2 3 2" xfId="14449" xr:uid="{7499783E-9FFA-4B89-BC60-E1F1FAF6E870}"/>
    <cellStyle name="Normal 2 5 4 3 2 4" xfId="9448" xr:uid="{0C1738F2-697E-4430-8A3F-E67747B3EDB0}"/>
    <cellStyle name="Normal 2 5 4 3 2 5" xfId="10232" xr:uid="{06F2C933-B320-40F0-946D-8B27E8FD9CF5}"/>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76AC020D-853F-43D9-B818-C0A9DBD4BF18}"/>
    <cellStyle name="Normal 2 5 4 3 3 2 3" xfId="12790" xr:uid="{BCF15E99-3960-4205-89F8-E7F676F0AFCC}"/>
    <cellStyle name="Normal 2 5 4 3 3 3" xfId="5536" xr:uid="{00000000-0005-0000-0000-000046110000}"/>
    <cellStyle name="Normal 2 5 4 3 3 3 2" xfId="14862" xr:uid="{5A8990AC-A20F-4F08-8DC1-978295FE205B}"/>
    <cellStyle name="Normal 2 5 4 3 3 4" xfId="10645" xr:uid="{C402852B-24E2-47BF-B42E-DE78AC101905}"/>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325F21F2-B4B3-4C91-83AD-C1A03B9DC944}"/>
    <cellStyle name="Normal 2 5 4 3 4 2 3" xfId="13203" xr:uid="{5F1B9318-C5A3-4293-AA53-0125F03E29AA}"/>
    <cellStyle name="Normal 2 5 4 3 4 3" xfId="5949" xr:uid="{00000000-0005-0000-0000-00004A110000}"/>
    <cellStyle name="Normal 2 5 4 3 4 3 2" xfId="15275" xr:uid="{CA58C81B-A98D-4E3D-9F1C-2DC38EB7F08F}"/>
    <cellStyle name="Normal 2 5 4 3 4 4" xfId="11058" xr:uid="{974393FE-F359-482E-B9A0-5114C0455683}"/>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E889F33A-0AF3-43BD-BCB7-7CED0F90D6B9}"/>
    <cellStyle name="Normal 2 5 4 3 5 2 3" xfId="13616" xr:uid="{C6E54F1C-D3DB-4BA9-B476-F8BB045F549E}"/>
    <cellStyle name="Normal 2 5 4 3 5 3" xfId="6362" xr:uid="{00000000-0005-0000-0000-00004E110000}"/>
    <cellStyle name="Normal 2 5 4 3 5 3 2" xfId="15688" xr:uid="{D4FD8CB7-B9FB-459E-A332-CC643D1D2A73}"/>
    <cellStyle name="Normal 2 5 4 3 5 4" xfId="11471" xr:uid="{60B68CAF-716C-47AA-AFD2-E46CE59B1A7B}"/>
    <cellStyle name="Normal 2 5 4 3 6" xfId="2492" xr:uid="{00000000-0005-0000-0000-00004F110000}"/>
    <cellStyle name="Normal 2 5 4 3 6 2" xfId="6775" xr:uid="{00000000-0005-0000-0000-000050110000}"/>
    <cellStyle name="Normal 2 5 4 3 6 2 2" xfId="16101" xr:uid="{E40904EF-25AF-478E-9F6A-A0C42C7B921F}"/>
    <cellStyle name="Normal 2 5 4 3 6 3" xfId="11884" xr:uid="{33F83D42-3A6B-4A1D-88B1-E803C9144095}"/>
    <cellStyle name="Normal 2 5 4 3 7" xfId="4709" xr:uid="{00000000-0005-0000-0000-000051110000}"/>
    <cellStyle name="Normal 2 5 4 3 7 2" xfId="14035" xr:uid="{D4F3A96C-6310-4D0D-9EF8-646B92960BD6}"/>
    <cellStyle name="Normal 2 5 4 3 8" xfId="9023" xr:uid="{9B869639-3DD4-4511-AD70-D5125D34938F}"/>
    <cellStyle name="Normal 2 5 4 3 9" xfId="9818" xr:uid="{CBC8D39E-A020-4E3B-A093-157AF90AB11A}"/>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61AC2B92-A3DA-4CB9-8CFF-BB7FCF2190FA}"/>
    <cellStyle name="Normal 2 5 4 4 2 3" xfId="12374" xr:uid="{84928718-431D-4223-B747-E9BF988CFE36}"/>
    <cellStyle name="Normal 2 5 4 4 3" xfId="5120" xr:uid="{00000000-0005-0000-0000-000055110000}"/>
    <cellStyle name="Normal 2 5 4 4 3 2" xfId="14446" xr:uid="{06A96438-5A23-4A22-8359-2548BF37807F}"/>
    <cellStyle name="Normal 2 5 4 4 4" xfId="9241" xr:uid="{2BD2F05F-E4C9-46B4-B3C9-F0D081C1F38F}"/>
    <cellStyle name="Normal 2 5 4 4 5" xfId="10229" xr:uid="{D04538E1-36D2-491F-A328-6CAF0178E338}"/>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8E1E53AC-B1AF-4545-AFA8-24940A17A961}"/>
    <cellStyle name="Normal 2 5 4 5 2 3" xfId="12787" xr:uid="{459A4505-A9C3-4B21-9456-B58001DDE823}"/>
    <cellStyle name="Normal 2 5 4 5 3" xfId="5533" xr:uid="{00000000-0005-0000-0000-000059110000}"/>
    <cellStyle name="Normal 2 5 4 5 3 2" xfId="14859" xr:uid="{50FC297E-45C0-478A-9BDA-31AA9EEF6A72}"/>
    <cellStyle name="Normal 2 5 4 5 4" xfId="10642" xr:uid="{C1AC09C2-1E2C-41FA-99D9-BDECEE1A159E}"/>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53B58B27-0EEF-44B4-853E-4BBB0DDB5661}"/>
    <cellStyle name="Normal 2 5 4 6 2 3" xfId="13200" xr:uid="{83E12862-7A14-47F8-83C0-0E125D582ABE}"/>
    <cellStyle name="Normal 2 5 4 6 3" xfId="5946" xr:uid="{00000000-0005-0000-0000-00005D110000}"/>
    <cellStyle name="Normal 2 5 4 6 3 2" xfId="15272" xr:uid="{6121068E-368A-4A6E-93E6-603200AC8EF7}"/>
    <cellStyle name="Normal 2 5 4 6 4" xfId="11055" xr:uid="{9B55595F-5C68-4865-BE37-B0F7E1F0C9FD}"/>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22AF5DDF-0729-45DE-830A-B23AB7C2DDA8}"/>
    <cellStyle name="Normal 2 5 4 7 2 3" xfId="13613" xr:uid="{F1C4DE83-1B62-4B0E-8E6E-E4F448BA9DFB}"/>
    <cellStyle name="Normal 2 5 4 7 3" xfId="6359" xr:uid="{00000000-0005-0000-0000-000061110000}"/>
    <cellStyle name="Normal 2 5 4 7 3 2" xfId="15685" xr:uid="{AA9ACA25-7E3A-47D6-8AEC-12453C0A5BFC}"/>
    <cellStyle name="Normal 2 5 4 7 4" xfId="11468" xr:uid="{6C8E82EB-FBE9-478F-99F3-54DDCD2DC588}"/>
    <cellStyle name="Normal 2 5 4 8" xfId="2489" xr:uid="{00000000-0005-0000-0000-000062110000}"/>
    <cellStyle name="Normal 2 5 4 8 2" xfId="6772" xr:uid="{00000000-0005-0000-0000-000063110000}"/>
    <cellStyle name="Normal 2 5 4 8 2 2" xfId="16098" xr:uid="{1D17018C-36AB-4577-BF09-0DC74714629B}"/>
    <cellStyle name="Normal 2 5 4 8 3" xfId="11881" xr:uid="{9DEFBE1A-8263-45D3-A2D5-5A41A38B4595}"/>
    <cellStyle name="Normal 2 5 4 9" xfId="4706" xr:uid="{00000000-0005-0000-0000-000064110000}"/>
    <cellStyle name="Normal 2 5 4 9 2" xfId="14032" xr:uid="{726D49C5-C602-4B3E-9F6B-799B87714CF2}"/>
    <cellStyle name="Normal 2 5 5" xfId="803" xr:uid="{00000000-0005-0000-0000-000065110000}"/>
    <cellStyle name="Normal 2 5 5 2" xfId="3042" xr:uid="{00000000-0005-0000-0000-000066110000}"/>
    <cellStyle name="Normal 2 5 5 2 2" xfId="7264" xr:uid="{00000000-0005-0000-0000-000067110000}"/>
    <cellStyle name="Normal 2 5 5 2 2 2" xfId="16590" xr:uid="{F926C19D-8F45-4FFA-BD4B-55AAA434ED92}"/>
    <cellStyle name="Normal 2 5 5 2 3" xfId="12373" xr:uid="{E2032A80-8AAE-4BAA-9924-CC335FAF9045}"/>
    <cellStyle name="Normal 2 5 5 3" xfId="5119" xr:uid="{00000000-0005-0000-0000-000068110000}"/>
    <cellStyle name="Normal 2 5 5 3 2" xfId="14445" xr:uid="{B5D67213-D812-4FEE-AA2D-AFE5882AC868}"/>
    <cellStyle name="Normal 2 5 5 4" xfId="9606" xr:uid="{3AE4D77A-44EE-40C2-9F71-05FBDE2746B2}"/>
    <cellStyle name="Normal 2 5 5 5" xfId="10228" xr:uid="{6CBF0A62-E3A3-4213-BBDD-76062B07C9B9}"/>
    <cellStyle name="Normal 2 5 6" xfId="1225" xr:uid="{00000000-0005-0000-0000-000069110000}"/>
    <cellStyle name="Normal 2 5 6 2" xfId="3455" xr:uid="{00000000-0005-0000-0000-00006A110000}"/>
    <cellStyle name="Normal 2 5 6 2 2" xfId="7677" xr:uid="{00000000-0005-0000-0000-00006B110000}"/>
    <cellStyle name="Normal 2 5 6 2 2 2" xfId="17003" xr:uid="{6A4C6AE4-A7B5-45F7-8791-6ED7C34079F8}"/>
    <cellStyle name="Normal 2 5 6 2 3" xfId="12786" xr:uid="{C6F01DD7-B95D-483E-B151-A7842EBB83C6}"/>
    <cellStyle name="Normal 2 5 6 3" xfId="5532" xr:uid="{00000000-0005-0000-0000-00006C110000}"/>
    <cellStyle name="Normal 2 5 6 3 2" xfId="14858" xr:uid="{6D5FF690-3238-4450-88E9-F201DA125786}"/>
    <cellStyle name="Normal 2 5 6 4" xfId="10641" xr:uid="{3C6A3EDE-B1AF-4847-BC8E-98B577A1E2B6}"/>
    <cellStyle name="Normal 2 5 7" xfId="1638" xr:uid="{00000000-0005-0000-0000-00006D110000}"/>
    <cellStyle name="Normal 2 5 7 2" xfId="3868" xr:uid="{00000000-0005-0000-0000-00006E110000}"/>
    <cellStyle name="Normal 2 5 7 2 2" xfId="8090" xr:uid="{00000000-0005-0000-0000-00006F110000}"/>
    <cellStyle name="Normal 2 5 7 2 2 2" xfId="17416" xr:uid="{876C6ADC-DCD2-4FCE-8BB4-93488AD88731}"/>
    <cellStyle name="Normal 2 5 7 2 3" xfId="13199" xr:uid="{B826AED6-4233-4971-8C3D-1AD6D82CC211}"/>
    <cellStyle name="Normal 2 5 7 3" xfId="5945" xr:uid="{00000000-0005-0000-0000-000070110000}"/>
    <cellStyle name="Normal 2 5 7 3 2" xfId="15271" xr:uid="{89F556C1-EA10-4470-9CAB-9BD0E13FD532}"/>
    <cellStyle name="Normal 2 5 7 4" xfId="11054" xr:uid="{F8E57D82-2889-4760-844A-1443E76AC970}"/>
    <cellStyle name="Normal 2 5 8" xfId="2052" xr:uid="{00000000-0005-0000-0000-000071110000}"/>
    <cellStyle name="Normal 2 5 8 2" xfId="4281" xr:uid="{00000000-0005-0000-0000-000072110000}"/>
    <cellStyle name="Normal 2 5 8 2 2" xfId="8503" xr:uid="{00000000-0005-0000-0000-000073110000}"/>
    <cellStyle name="Normal 2 5 8 2 2 2" xfId="17829" xr:uid="{78ABDC09-110C-4001-B9A6-5BB5215F8E65}"/>
    <cellStyle name="Normal 2 5 8 2 3" xfId="13612" xr:uid="{CC50D4DD-F01E-40AF-8D78-187D4DE34279}"/>
    <cellStyle name="Normal 2 5 8 3" xfId="6358" xr:uid="{00000000-0005-0000-0000-000074110000}"/>
    <cellStyle name="Normal 2 5 8 3 2" xfId="15684" xr:uid="{F2175B0C-7726-4AF9-9E26-20394C290E71}"/>
    <cellStyle name="Normal 2 5 8 4" xfId="11467" xr:uid="{C7DF4525-251A-4FE1-98E7-65A412F8E887}"/>
    <cellStyle name="Normal 2 5 9" xfId="2488" xr:uid="{00000000-0005-0000-0000-000075110000}"/>
    <cellStyle name="Normal 2 5 9 2" xfId="6771" xr:uid="{00000000-0005-0000-0000-000076110000}"/>
    <cellStyle name="Normal 2 5 9 2 2" xfId="16097" xr:uid="{7FE10B8B-7A12-4F68-A757-DA3FC2BA6FA8}"/>
    <cellStyle name="Normal 2 5 9 3" xfId="11880" xr:uid="{FF6F7555-3CF6-4CA2-A072-A92614F565EF}"/>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8577A35F-DA6E-461E-B657-F604588461FA}"/>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99A9E15A-1034-4371-9B11-996D20D0A312}"/>
    <cellStyle name="Normal 3 2 3 2" xfId="327" xr:uid="{00000000-0005-0000-0000-00007F110000}"/>
    <cellStyle name="Normal 3 2 3 2 10" xfId="9821" xr:uid="{21A48F68-2B29-4DE2-88A6-A67DDEF621E9}"/>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EB910F8A-FF0C-4B13-A7F7-1E14D3B8BEB3}"/>
    <cellStyle name="Normal 3 2 3 2 2 2 2 3" xfId="12381" xr:uid="{D6B4000D-8F1E-41EB-9EDB-7C95AC8A2A3E}"/>
    <cellStyle name="Normal 3 2 3 2 2 2 3" xfId="5127" xr:uid="{00000000-0005-0000-0000-000084110000}"/>
    <cellStyle name="Normal 3 2 3 2 2 2 3 2" xfId="14453" xr:uid="{569C3296-0BF3-46C1-9D11-A2EFAE64F65B}"/>
    <cellStyle name="Normal 3 2 3 2 2 2 4" xfId="9552" xr:uid="{54198C1B-8B77-4C07-BFED-28C4D4E00A0C}"/>
    <cellStyle name="Normal 3 2 3 2 2 2 5" xfId="10236" xr:uid="{4D1EDF59-9DDD-4F16-A30A-25744875D1B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267F6125-35CA-4126-A5EC-89E09A714377}"/>
    <cellStyle name="Normal 3 2 3 2 2 3 2 3" xfId="12794" xr:uid="{98AC036C-5C11-42A0-81AD-46549E3ABF33}"/>
    <cellStyle name="Normal 3 2 3 2 2 3 3" xfId="5540" xr:uid="{00000000-0005-0000-0000-000088110000}"/>
    <cellStyle name="Normal 3 2 3 2 2 3 3 2" xfId="14866" xr:uid="{F160B4F6-6963-4DB3-8168-0B81A4A4EF71}"/>
    <cellStyle name="Normal 3 2 3 2 2 3 4" xfId="10649" xr:uid="{78CD103A-EEAE-410E-AACC-5091D52025D6}"/>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8E5A9B26-4C32-430A-8BAF-8507246E74A4}"/>
    <cellStyle name="Normal 3 2 3 2 2 4 2 3" xfId="13207" xr:uid="{F1BB0809-CD19-4CCD-8E6B-82D3D39C3D0C}"/>
    <cellStyle name="Normal 3 2 3 2 2 4 3" xfId="5953" xr:uid="{00000000-0005-0000-0000-00008C110000}"/>
    <cellStyle name="Normal 3 2 3 2 2 4 3 2" xfId="15279" xr:uid="{53BDE032-1F92-44A2-8032-64CE74401C08}"/>
    <cellStyle name="Normal 3 2 3 2 2 4 4" xfId="11062" xr:uid="{428F334A-3C9D-40A7-ABA4-7F5F39CAD7DA}"/>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B4EAD5DB-7A92-43C5-B564-3029DC646E64}"/>
    <cellStyle name="Normal 3 2 3 2 2 5 2 3" xfId="13620" xr:uid="{C35D98E7-2EE9-4C02-9691-63DA45FDC3EE}"/>
    <cellStyle name="Normal 3 2 3 2 2 5 3" xfId="6366" xr:uid="{00000000-0005-0000-0000-000090110000}"/>
    <cellStyle name="Normal 3 2 3 2 2 5 3 2" xfId="15692" xr:uid="{941CDAF7-67CA-4935-9C3E-5F90D923FD85}"/>
    <cellStyle name="Normal 3 2 3 2 2 5 4" xfId="11475" xr:uid="{26C94ACC-94CC-4C50-8539-9AD0A806ED3D}"/>
    <cellStyle name="Normal 3 2 3 2 2 6" xfId="2496" xr:uid="{00000000-0005-0000-0000-000091110000}"/>
    <cellStyle name="Normal 3 2 3 2 2 6 2" xfId="6779" xr:uid="{00000000-0005-0000-0000-000092110000}"/>
    <cellStyle name="Normal 3 2 3 2 2 6 2 2" xfId="16105" xr:uid="{4FAAAD50-1E4C-46DC-80D1-52412BE38E14}"/>
    <cellStyle name="Normal 3 2 3 2 2 6 3" xfId="11888" xr:uid="{F5788760-AC2D-4A04-BA3A-8E91096491B0}"/>
    <cellStyle name="Normal 3 2 3 2 2 7" xfId="4713" xr:uid="{00000000-0005-0000-0000-000093110000}"/>
    <cellStyle name="Normal 3 2 3 2 2 7 2" xfId="14039" xr:uid="{B254B745-EADA-482C-9FDF-096E9B61966D}"/>
    <cellStyle name="Normal 3 2 3 2 2 8" xfId="9127" xr:uid="{0583B12A-AAD6-4358-9C0C-42D6EBC3DFD8}"/>
    <cellStyle name="Normal 3 2 3 2 2 9" xfId="9822" xr:uid="{91146EE5-C490-421A-A7CF-55BBF69556D9}"/>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225EC355-FEEE-47A8-9BBF-F27C17030668}"/>
    <cellStyle name="Normal 3 2 3 2 3 2 3" xfId="12380" xr:uid="{469F236A-A882-4FDE-9156-1DE22E2E1D42}"/>
    <cellStyle name="Normal 3 2 3 2 3 3" xfId="5126" xr:uid="{00000000-0005-0000-0000-000097110000}"/>
    <cellStyle name="Normal 3 2 3 2 3 3 2" xfId="14452" xr:uid="{6BDEC5CB-B4B6-4C4E-B55C-36D76EC84621}"/>
    <cellStyle name="Normal 3 2 3 2 3 4" xfId="9345" xr:uid="{C34A3811-3C7F-4E99-A17A-CCF74A426C86}"/>
    <cellStyle name="Normal 3 2 3 2 3 5" xfId="10235" xr:uid="{46F22E39-31D0-4117-A3EB-F2966A51DD20}"/>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779E748C-3481-4D5B-904A-BDB593DD5918}"/>
    <cellStyle name="Normal 3 2 3 2 4 2 3" xfId="12793" xr:uid="{B0426BA3-4541-4018-935D-31720C7BCF52}"/>
    <cellStyle name="Normal 3 2 3 2 4 3" xfId="5539" xr:uid="{00000000-0005-0000-0000-00009B110000}"/>
    <cellStyle name="Normal 3 2 3 2 4 3 2" xfId="14865" xr:uid="{CEA7B25E-0350-48DC-ACCE-B0B7D18A4418}"/>
    <cellStyle name="Normal 3 2 3 2 4 4" xfId="10648" xr:uid="{CFA97A9B-AE16-4B49-A741-89E5A620979C}"/>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E2A9658A-AC47-4ACF-A7B3-0639047EA960}"/>
    <cellStyle name="Normal 3 2 3 2 5 2 3" xfId="13206" xr:uid="{E7239CD2-98C2-4649-A6FA-8AF696E25F1F}"/>
    <cellStyle name="Normal 3 2 3 2 5 3" xfId="5952" xr:uid="{00000000-0005-0000-0000-00009F110000}"/>
    <cellStyle name="Normal 3 2 3 2 5 3 2" xfId="15278" xr:uid="{37441FA4-FA0F-4996-8F52-F46C178BC609}"/>
    <cellStyle name="Normal 3 2 3 2 5 4" xfId="11061" xr:uid="{19FFE6B6-6813-44B1-89C8-48225D5C4BD2}"/>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43404A86-8BF2-4E4F-848E-028545A32B70}"/>
    <cellStyle name="Normal 3 2 3 2 6 2 3" xfId="13619" xr:uid="{2290941A-8FD6-4812-ADF0-E8A5A6E564C2}"/>
    <cellStyle name="Normal 3 2 3 2 6 3" xfId="6365" xr:uid="{00000000-0005-0000-0000-0000A3110000}"/>
    <cellStyle name="Normal 3 2 3 2 6 3 2" xfId="15691" xr:uid="{9324B197-975F-4B73-A815-6685B0826738}"/>
    <cellStyle name="Normal 3 2 3 2 6 4" xfId="11474" xr:uid="{53081C26-21F6-4C9C-A38F-C565D1750AE3}"/>
    <cellStyle name="Normal 3 2 3 2 7" xfId="2495" xr:uid="{00000000-0005-0000-0000-0000A4110000}"/>
    <cellStyle name="Normal 3 2 3 2 7 2" xfId="6778" xr:uid="{00000000-0005-0000-0000-0000A5110000}"/>
    <cellStyle name="Normal 3 2 3 2 7 2 2" xfId="16104" xr:uid="{8B9CB6FA-A9DE-4091-B02D-1210ED91AD67}"/>
    <cellStyle name="Normal 3 2 3 2 7 3" xfId="11887" xr:uid="{8F787ED8-5BFE-49E9-9884-7160561A6183}"/>
    <cellStyle name="Normal 3 2 3 2 8" xfId="4712" xr:uid="{00000000-0005-0000-0000-0000A6110000}"/>
    <cellStyle name="Normal 3 2 3 2 8 2" xfId="14038" xr:uid="{D13423DB-92C4-47D8-A2F7-AB2325E0B839}"/>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C8C8BD43-38C9-4370-BC02-01FF8F4CB0EB}"/>
    <cellStyle name="Normal 3 2 3 3 2 2 3" xfId="12382" xr:uid="{EEFD5287-4506-47AD-8421-5EFD4E1E8C10}"/>
    <cellStyle name="Normal 3 2 3 3 2 3" xfId="5128" xr:uid="{00000000-0005-0000-0000-0000AB110000}"/>
    <cellStyle name="Normal 3 2 3 3 2 3 2" xfId="14454" xr:uid="{9BA8A6DA-FDBC-4097-8AFF-ED86381ACDAB}"/>
    <cellStyle name="Normal 3 2 3 3 2 4" xfId="9449" xr:uid="{7F58A2DC-DF16-44D1-8D09-04DD41EF4468}"/>
    <cellStyle name="Normal 3 2 3 3 2 5" xfId="10237" xr:uid="{BAB51E7A-B9F4-4D12-94DA-0F9EFF85AED7}"/>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F19A1A1F-936E-42FF-9D72-47851280C310}"/>
    <cellStyle name="Normal 3 2 3 3 3 2 3" xfId="12795" xr:uid="{CED0A39B-2FD8-4E78-978E-304B5AC126F7}"/>
    <cellStyle name="Normal 3 2 3 3 3 3" xfId="5541" xr:uid="{00000000-0005-0000-0000-0000AF110000}"/>
    <cellStyle name="Normal 3 2 3 3 3 3 2" xfId="14867" xr:uid="{202D7F89-C055-41F1-8A9F-04D4090CD134}"/>
    <cellStyle name="Normal 3 2 3 3 3 4" xfId="10650" xr:uid="{31ABDE73-7EF2-4D90-BC5F-70F634EB4B57}"/>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EBAA5EE4-A8AC-4E12-8612-1DF896F35EC9}"/>
    <cellStyle name="Normal 3 2 3 3 4 2 3" xfId="13208" xr:uid="{B529718B-D0E7-4902-8446-9DC644DEBEF7}"/>
    <cellStyle name="Normal 3 2 3 3 4 3" xfId="5954" xr:uid="{00000000-0005-0000-0000-0000B3110000}"/>
    <cellStyle name="Normal 3 2 3 3 4 3 2" xfId="15280" xr:uid="{58E3DB7C-A5E8-4BDD-9067-0A0C1F747143}"/>
    <cellStyle name="Normal 3 2 3 3 4 4" xfId="11063" xr:uid="{14DFA041-3D66-4BD6-979D-0499C46E462A}"/>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1DBBAEC2-723C-4260-8B14-41CAC6437051}"/>
    <cellStyle name="Normal 3 2 3 3 5 2 3" xfId="13621" xr:uid="{23CC8FFC-3609-4047-B44E-0A7A980ACCB7}"/>
    <cellStyle name="Normal 3 2 3 3 5 3" xfId="6367" xr:uid="{00000000-0005-0000-0000-0000B7110000}"/>
    <cellStyle name="Normal 3 2 3 3 5 3 2" xfId="15693" xr:uid="{53CAA4D8-99D1-4ECA-9264-A80599E0F423}"/>
    <cellStyle name="Normal 3 2 3 3 5 4" xfId="11476" xr:uid="{0D459135-BCE2-434A-8612-BC9767258E2E}"/>
    <cellStyle name="Normal 3 2 3 3 6" xfId="2497" xr:uid="{00000000-0005-0000-0000-0000B8110000}"/>
    <cellStyle name="Normal 3 2 3 3 6 2" xfId="6780" xr:uid="{00000000-0005-0000-0000-0000B9110000}"/>
    <cellStyle name="Normal 3 2 3 3 6 2 2" xfId="16106" xr:uid="{4E02B950-6505-41BA-B08E-8093FDEE9E45}"/>
    <cellStyle name="Normal 3 2 3 3 6 3" xfId="11889" xr:uid="{E2A04F65-6BC9-4F5C-AD0B-9B4010E9DBEA}"/>
    <cellStyle name="Normal 3 2 3 3 7" xfId="4714" xr:uid="{00000000-0005-0000-0000-0000BA110000}"/>
    <cellStyle name="Normal 3 2 3 3 7 2" xfId="14040" xr:uid="{D6C9BE2D-B3E2-4E0A-9ED8-86619A8DD6CC}"/>
    <cellStyle name="Normal 3 2 3 3 8" xfId="9024" xr:uid="{AE2F680F-18A3-47B5-ADCF-6BEAD71D50CE}"/>
    <cellStyle name="Normal 3 2 3 3 9" xfId="9823" xr:uid="{05A85C5C-FD9C-4BB0-902C-7A312B22DA88}"/>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19248DDB-982C-4CAF-B03A-9FB1CBE9B19D}"/>
    <cellStyle name="Normal 3 2 3 4 2 3" xfId="12379" xr:uid="{2FD08479-5611-44D2-B2F8-B7A015283066}"/>
    <cellStyle name="Normal 3 2 3 4 3" xfId="5125" xr:uid="{00000000-0005-0000-0000-0000BE110000}"/>
    <cellStyle name="Normal 3 2 3 4 3 2" xfId="14451" xr:uid="{F81C9A71-F0BC-4DF0-8794-4E0217B4EBBA}"/>
    <cellStyle name="Normal 3 2 3 4 4" xfId="9242" xr:uid="{05AEEDFF-7EEB-40DB-B13D-145C971A771B}"/>
    <cellStyle name="Normal 3 2 3 4 5" xfId="10234" xr:uid="{55DA127D-E071-4252-BD04-6ED8614E2ECE}"/>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00A11B6B-20DB-4125-895D-9149A867CD1D}"/>
    <cellStyle name="Normal 3 2 3 5 2 3" xfId="12792" xr:uid="{59956B8B-9C46-440A-AF5C-AAD9E3576C08}"/>
    <cellStyle name="Normal 3 2 3 5 3" xfId="5538" xr:uid="{00000000-0005-0000-0000-0000C2110000}"/>
    <cellStyle name="Normal 3 2 3 5 3 2" xfId="14864" xr:uid="{953A32D9-302C-490E-95AD-24496E436E83}"/>
    <cellStyle name="Normal 3 2 3 5 4" xfId="10647" xr:uid="{8DF208D3-781F-4907-8F72-30543D6B62A0}"/>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AE18E75C-57D4-4718-92D9-F135D7450C20}"/>
    <cellStyle name="Normal 3 2 3 6 2 3" xfId="13205" xr:uid="{B69B1FE9-B4CD-4FA2-8257-0711CB6D4879}"/>
    <cellStyle name="Normal 3 2 3 6 3" xfId="5951" xr:uid="{00000000-0005-0000-0000-0000C6110000}"/>
    <cellStyle name="Normal 3 2 3 6 3 2" xfId="15277" xr:uid="{6D2B47B8-8B3F-40FE-809F-07679801A403}"/>
    <cellStyle name="Normal 3 2 3 6 4" xfId="11060" xr:uid="{32C54E2B-1876-46D1-A2FA-A9DA9CF3E3EB}"/>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CDB0DAD1-8950-48E9-A94C-17161B6B13EC}"/>
    <cellStyle name="Normal 3 2 3 7 2 3" xfId="13618" xr:uid="{6AFDD93D-E63E-4FEF-A865-756D9E8E7DCA}"/>
    <cellStyle name="Normal 3 2 3 7 3" xfId="6364" xr:uid="{00000000-0005-0000-0000-0000CA110000}"/>
    <cellStyle name="Normal 3 2 3 7 3 2" xfId="15690" xr:uid="{A833D4EC-0363-43B4-B6EF-6F69E59282AF}"/>
    <cellStyle name="Normal 3 2 3 7 4" xfId="11473" xr:uid="{8A5FE012-0D29-4E5B-BACD-0AE24656A8EA}"/>
    <cellStyle name="Normal 3 2 3 8" xfId="2494" xr:uid="{00000000-0005-0000-0000-0000CB110000}"/>
    <cellStyle name="Normal 3 2 3 8 2" xfId="6777" xr:uid="{00000000-0005-0000-0000-0000CC110000}"/>
    <cellStyle name="Normal 3 2 3 8 2 2" xfId="16103" xr:uid="{41764FE5-ED7A-4401-B04E-92432C7E3ECF}"/>
    <cellStyle name="Normal 3 2 3 8 3" xfId="11886" xr:uid="{14669099-567E-48B5-BB92-67299E618CE0}"/>
    <cellStyle name="Normal 3 2 3 9" xfId="4711" xr:uid="{00000000-0005-0000-0000-0000CD110000}"/>
    <cellStyle name="Normal 3 2 3 9 2" xfId="14037" xr:uid="{48365E3E-1807-4665-A2A4-2A26BA55D4D4}"/>
    <cellStyle name="Normal 3 2 4" xfId="809" xr:uid="{00000000-0005-0000-0000-0000CE110000}"/>
    <cellStyle name="Normal 3 2 4 2" xfId="3047" xr:uid="{00000000-0005-0000-0000-0000CF110000}"/>
    <cellStyle name="Normal 3 2 4 2 2" xfId="7269" xr:uid="{00000000-0005-0000-0000-0000D0110000}"/>
    <cellStyle name="Normal 3 2 4 2 2 2" xfId="16595" xr:uid="{4E984996-C9AC-4B19-9A64-C23239A748CB}"/>
    <cellStyle name="Normal 3 2 4 2 3" xfId="12378" xr:uid="{80B76A87-C9AF-4604-A6F4-3EEAE3CC49D5}"/>
    <cellStyle name="Normal 3 2 4 3" xfId="5124" xr:uid="{00000000-0005-0000-0000-0000D1110000}"/>
    <cellStyle name="Normal 3 2 4 3 2" xfId="14450" xr:uid="{E4F2C5E9-8210-4B7B-8845-D3CB4E9F7F0E}"/>
    <cellStyle name="Normal 3 2 4 4" xfId="9607" xr:uid="{7D769806-7069-4B8D-8CAC-B3B91BBA8D64}"/>
    <cellStyle name="Normal 3 2 4 5" xfId="10233" xr:uid="{72A1BC80-8D29-495A-A362-B3F7E3FE5B81}"/>
    <cellStyle name="Normal 3 2 5" xfId="1230" xr:uid="{00000000-0005-0000-0000-0000D2110000}"/>
    <cellStyle name="Normal 3 2 5 2" xfId="3460" xr:uid="{00000000-0005-0000-0000-0000D3110000}"/>
    <cellStyle name="Normal 3 2 5 2 2" xfId="7682" xr:uid="{00000000-0005-0000-0000-0000D4110000}"/>
    <cellStyle name="Normal 3 2 5 2 2 2" xfId="17008" xr:uid="{0D505960-AD79-4CB6-9D35-655CD3035973}"/>
    <cellStyle name="Normal 3 2 5 2 3" xfId="12791" xr:uid="{416FDEAF-B346-4F3B-BAEA-246AEEB37260}"/>
    <cellStyle name="Normal 3 2 5 3" xfId="5537" xr:uid="{00000000-0005-0000-0000-0000D5110000}"/>
    <cellStyle name="Normal 3 2 5 3 2" xfId="14863" xr:uid="{BE02CD22-937A-4F56-A9CF-929E9EF03DB3}"/>
    <cellStyle name="Normal 3 2 5 4" xfId="10646" xr:uid="{10DB03DF-5937-4DB6-9835-3E0A52599D6E}"/>
    <cellStyle name="Normal 3 2 6" xfId="1643" xr:uid="{00000000-0005-0000-0000-0000D6110000}"/>
    <cellStyle name="Normal 3 2 6 2" xfId="3873" xr:uid="{00000000-0005-0000-0000-0000D7110000}"/>
    <cellStyle name="Normal 3 2 6 2 2" xfId="8095" xr:uid="{00000000-0005-0000-0000-0000D8110000}"/>
    <cellStyle name="Normal 3 2 6 2 2 2" xfId="17421" xr:uid="{4CFA5CEB-D7B4-44BA-ABAB-72CBA21767D4}"/>
    <cellStyle name="Normal 3 2 6 2 3" xfId="13204" xr:uid="{E8587529-2986-4AA1-AE02-55CB4246EF32}"/>
    <cellStyle name="Normal 3 2 6 3" xfId="5950" xr:uid="{00000000-0005-0000-0000-0000D9110000}"/>
    <cellStyle name="Normal 3 2 6 3 2" xfId="15276" xr:uid="{646CCD1C-1B0C-4DB4-891D-7D50954B2544}"/>
    <cellStyle name="Normal 3 2 6 4" xfId="11059" xr:uid="{F1819503-B2EE-4D3B-876E-6054D4C31085}"/>
    <cellStyle name="Normal 3 2 7" xfId="2057" xr:uid="{00000000-0005-0000-0000-0000DA110000}"/>
    <cellStyle name="Normal 3 2 7 2" xfId="4286" xr:uid="{00000000-0005-0000-0000-0000DB110000}"/>
    <cellStyle name="Normal 3 2 7 2 2" xfId="8508" xr:uid="{00000000-0005-0000-0000-0000DC110000}"/>
    <cellStyle name="Normal 3 2 7 2 2 2" xfId="17834" xr:uid="{5718C20F-288F-4BD0-A820-931D4C51CCD7}"/>
    <cellStyle name="Normal 3 2 7 2 3" xfId="13617" xr:uid="{92BCA5D9-3C20-455B-85CC-8EC72F925EC5}"/>
    <cellStyle name="Normal 3 2 7 3" xfId="6363" xr:uid="{00000000-0005-0000-0000-0000DD110000}"/>
    <cellStyle name="Normal 3 2 7 3 2" xfId="15689" xr:uid="{4DF92D51-E323-4E68-9B3B-861606BFF608}"/>
    <cellStyle name="Normal 3 2 7 4" xfId="11472" xr:uid="{0CBC1018-1351-47C6-B2F0-7E4DCEA08297}"/>
    <cellStyle name="Normal 3 2 8" xfId="2493" xr:uid="{00000000-0005-0000-0000-0000DE110000}"/>
    <cellStyle name="Normal 3 2 8 2" xfId="6776" xr:uid="{00000000-0005-0000-0000-0000DF110000}"/>
    <cellStyle name="Normal 3 2 8 2 2" xfId="16102" xr:uid="{DD3211B8-2FC8-49D5-88E9-2792AC499F49}"/>
    <cellStyle name="Normal 3 2 8 3" xfId="11885" xr:uid="{C7F49F4A-9BB9-4A8C-9293-7F6BA0C88767}"/>
    <cellStyle name="Normal 3 2 9" xfId="4710" xr:uid="{00000000-0005-0000-0000-0000E0110000}"/>
    <cellStyle name="Normal 3 2 9 2" xfId="14036" xr:uid="{187FFC40-1F85-4676-8B9A-A1E2794EAEFF}"/>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477C3A6F-6A6B-4ECB-A410-3638F7232EC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8E2ED03A-F932-4F48-B0D2-6F71EAD968FB}"/>
    <cellStyle name="Normal 4 2 2 10 2 3" xfId="13622" xr:uid="{F742188C-BE37-4F12-991D-E47B0AA56B98}"/>
    <cellStyle name="Normal 4 2 2 10 3" xfId="6368" xr:uid="{00000000-0005-0000-0000-0000ED110000}"/>
    <cellStyle name="Normal 4 2 2 10 3 2" xfId="15694" xr:uid="{02C43803-80CA-4C0C-A50C-90C695219FB6}"/>
    <cellStyle name="Normal 4 2 2 10 4" xfId="11477" xr:uid="{694FBCD9-79E6-4D22-8522-6CA299E2FE02}"/>
    <cellStyle name="Normal 4 2 2 11" xfId="2498" xr:uid="{00000000-0005-0000-0000-0000EE110000}"/>
    <cellStyle name="Normal 4 2 2 11 2" xfId="6781" xr:uid="{00000000-0005-0000-0000-0000EF110000}"/>
    <cellStyle name="Normal 4 2 2 11 2 2" xfId="16107" xr:uid="{C13B11DD-EB78-433F-BC6B-B5373DA80ECB}"/>
    <cellStyle name="Normal 4 2 2 11 3" xfId="11890" xr:uid="{99553FE5-BBD8-4C0D-A845-469D73B5D668}"/>
    <cellStyle name="Normal 4 2 2 12" xfId="4716" xr:uid="{00000000-0005-0000-0000-0000F0110000}"/>
    <cellStyle name="Normal 4 2 2 12 2" xfId="14042" xr:uid="{EE719543-9B83-49CA-8566-526469BD6B76}"/>
    <cellStyle name="Normal 4 2 2 13" xfId="8752" xr:uid="{7B61EFAC-4165-4615-9A47-7AF5DAE027C9}"/>
    <cellStyle name="Normal 4 2 2 14" xfId="9825" xr:uid="{BC2129E8-1AD1-4D74-BEBF-E6E375D205C5}"/>
    <cellStyle name="Normal 4 2 2 2" xfId="338" xr:uid="{00000000-0005-0000-0000-0000F1110000}"/>
    <cellStyle name="Normal 4 2 2 3" xfId="339" xr:uid="{00000000-0005-0000-0000-0000F2110000}"/>
    <cellStyle name="Normal 4 2 2 3 10" xfId="4717" xr:uid="{00000000-0005-0000-0000-0000F3110000}"/>
    <cellStyle name="Normal 4 2 2 3 10 2" xfId="14043" xr:uid="{159106A4-CAFB-4643-B639-3D333FB5DAB0}"/>
    <cellStyle name="Normal 4 2 2 3 11" xfId="8784" xr:uid="{8AA3A883-811C-4C4A-AFFF-9AAED56BF228}"/>
    <cellStyle name="Normal 4 2 2 3 12" xfId="9826" xr:uid="{9026F83F-93F9-4F8B-82D2-488AF760EC6B}"/>
    <cellStyle name="Normal 4 2 2 3 2" xfId="340" xr:uid="{00000000-0005-0000-0000-0000F4110000}"/>
    <cellStyle name="Normal 4 2 2 3 2 10" xfId="8819" xr:uid="{16629302-3759-4242-B07E-BB5D034B10E8}"/>
    <cellStyle name="Normal 4 2 2 3 2 11" xfId="9827" xr:uid="{4646D27C-F943-41F1-8314-22B46E9D258F}"/>
    <cellStyle name="Normal 4 2 2 3 2 2" xfId="341" xr:uid="{00000000-0005-0000-0000-0000F5110000}"/>
    <cellStyle name="Normal 4 2 2 3 2 2 10" xfId="9828" xr:uid="{47254FB1-0477-4640-8FDB-7BDFD07E40B9}"/>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97C71036-3C8E-454B-A485-4F564E82CD78}"/>
    <cellStyle name="Normal 4 2 2 3 2 2 2 2 2 3" xfId="12387" xr:uid="{BEDB9694-20CC-4B2D-903B-D05F43ACCD6E}"/>
    <cellStyle name="Normal 4 2 2 3 2 2 2 2 3" xfId="5133" xr:uid="{00000000-0005-0000-0000-0000FA110000}"/>
    <cellStyle name="Normal 4 2 2 3 2 2 2 2 3 2" xfId="14459" xr:uid="{540C3D98-25FB-40DF-BC71-B63F9BC03E8F}"/>
    <cellStyle name="Normal 4 2 2 3 2 2 2 2 4" xfId="9554" xr:uid="{BAC669EC-8948-4716-90C3-0688F03300CE}"/>
    <cellStyle name="Normal 4 2 2 3 2 2 2 2 5" xfId="10242" xr:uid="{4CF3C028-4DCB-437B-A1EE-D131A684F2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C8C4FC7F-7B3B-4A7A-8A41-245295492046}"/>
    <cellStyle name="Normal 4 2 2 3 2 2 2 3 2 3" xfId="12800" xr:uid="{6E1AAF92-5AF2-4B93-A0FC-E4225D8479AE}"/>
    <cellStyle name="Normal 4 2 2 3 2 2 2 3 3" xfId="5546" xr:uid="{00000000-0005-0000-0000-0000FE110000}"/>
    <cellStyle name="Normal 4 2 2 3 2 2 2 3 3 2" xfId="14872" xr:uid="{2EABE0A2-7A02-4E19-B909-2673D761F549}"/>
    <cellStyle name="Normal 4 2 2 3 2 2 2 3 4" xfId="10655" xr:uid="{46AE8184-C5BA-4D00-84DF-78A146B7CC5B}"/>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E59EA11E-FFB0-40A3-96A8-8876880B7A46}"/>
    <cellStyle name="Normal 4 2 2 3 2 2 2 4 2 3" xfId="13213" xr:uid="{D7ECEFB4-6D6C-4AF5-8396-D798BC15E82A}"/>
    <cellStyle name="Normal 4 2 2 3 2 2 2 4 3" xfId="5959" xr:uid="{00000000-0005-0000-0000-000002120000}"/>
    <cellStyle name="Normal 4 2 2 3 2 2 2 4 3 2" xfId="15285" xr:uid="{2E908CC2-9C60-4007-B7C3-A9D844A1ECE7}"/>
    <cellStyle name="Normal 4 2 2 3 2 2 2 4 4" xfId="11068" xr:uid="{EBA5F892-ABFD-45D4-93C0-0CD6A24C05F4}"/>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F6DDE8FA-882C-491F-AC22-C7E79AB10061}"/>
    <cellStyle name="Normal 4 2 2 3 2 2 2 5 2 3" xfId="13626" xr:uid="{64D7B9BA-72ED-4455-B0C9-ACB991720E00}"/>
    <cellStyle name="Normal 4 2 2 3 2 2 2 5 3" xfId="6372" xr:uid="{00000000-0005-0000-0000-000006120000}"/>
    <cellStyle name="Normal 4 2 2 3 2 2 2 5 3 2" xfId="15698" xr:uid="{AD22300C-7980-4E2D-8741-B53705F850EE}"/>
    <cellStyle name="Normal 4 2 2 3 2 2 2 5 4" xfId="11481" xr:uid="{B46B1428-57D4-41A4-A0E8-4517648FAEBD}"/>
    <cellStyle name="Normal 4 2 2 3 2 2 2 6" xfId="2502" xr:uid="{00000000-0005-0000-0000-000007120000}"/>
    <cellStyle name="Normal 4 2 2 3 2 2 2 6 2" xfId="6785" xr:uid="{00000000-0005-0000-0000-000008120000}"/>
    <cellStyle name="Normal 4 2 2 3 2 2 2 6 2 2" xfId="16111" xr:uid="{11811F27-AA29-4F0D-864E-C08F7E87C37B}"/>
    <cellStyle name="Normal 4 2 2 3 2 2 2 6 3" xfId="11894" xr:uid="{B140623D-7108-4E26-94EB-5075CC095DAA}"/>
    <cellStyle name="Normal 4 2 2 3 2 2 2 7" xfId="4720" xr:uid="{00000000-0005-0000-0000-000009120000}"/>
    <cellStyle name="Normal 4 2 2 3 2 2 2 7 2" xfId="14046" xr:uid="{CE2DDC37-0E26-43A8-960E-C9353BFCD105}"/>
    <cellStyle name="Normal 4 2 2 3 2 2 2 8" xfId="9129" xr:uid="{970F8072-C8D6-4D17-95D6-EBF431EAD262}"/>
    <cellStyle name="Normal 4 2 2 3 2 2 2 9" xfId="9829" xr:uid="{F74C759B-6671-472F-B92B-B8691CF9B91B}"/>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2D48222F-8AE5-430A-9539-AA8EB6AF026B}"/>
    <cellStyle name="Normal 4 2 2 3 2 2 3 2 3" xfId="12386" xr:uid="{7619ACB9-CD0D-4518-A8C7-4CE53A115761}"/>
    <cellStyle name="Normal 4 2 2 3 2 2 3 3" xfId="5132" xr:uid="{00000000-0005-0000-0000-00000D120000}"/>
    <cellStyle name="Normal 4 2 2 3 2 2 3 3 2" xfId="14458" xr:uid="{A3642730-6A96-4E69-A902-363508EDC127}"/>
    <cellStyle name="Normal 4 2 2 3 2 2 3 4" xfId="9347" xr:uid="{8C9012CB-19BB-4242-9F43-373358B13B52}"/>
    <cellStyle name="Normal 4 2 2 3 2 2 3 5" xfId="10241" xr:uid="{14A55096-89CD-414A-851D-EA779AA78339}"/>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E732994C-6505-428D-9CB5-C0F728AB96B6}"/>
    <cellStyle name="Normal 4 2 2 3 2 2 4 2 3" xfId="12799" xr:uid="{5A38D8B8-C8D3-4D28-A9DD-CFEB73507717}"/>
    <cellStyle name="Normal 4 2 2 3 2 2 4 3" xfId="5545" xr:uid="{00000000-0005-0000-0000-000011120000}"/>
    <cellStyle name="Normal 4 2 2 3 2 2 4 3 2" xfId="14871" xr:uid="{F99B3DF2-B92D-4455-9A6E-9AA4CD9FCE25}"/>
    <cellStyle name="Normal 4 2 2 3 2 2 4 4" xfId="10654" xr:uid="{B68A236D-8CB1-4D11-9268-14316C8EE147}"/>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B8B55B7B-CD3E-40ED-A703-B9C4E77C7956}"/>
    <cellStyle name="Normal 4 2 2 3 2 2 5 2 3" xfId="13212" xr:uid="{FA763391-AAF5-47AF-A5E6-FF7C79A75180}"/>
    <cellStyle name="Normal 4 2 2 3 2 2 5 3" xfId="5958" xr:uid="{00000000-0005-0000-0000-000015120000}"/>
    <cellStyle name="Normal 4 2 2 3 2 2 5 3 2" xfId="15284" xr:uid="{3AC3DA35-29C7-426E-9D97-56BE36AD7AE5}"/>
    <cellStyle name="Normal 4 2 2 3 2 2 5 4" xfId="11067" xr:uid="{E847F2D6-F35B-4AA0-9C98-550A0E7AAE1F}"/>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62435EAD-003F-4406-8015-2A9EF5F92BAB}"/>
    <cellStyle name="Normal 4 2 2 3 2 2 6 2 3" xfId="13625" xr:uid="{BC87EE87-5D50-4FC4-836F-A805C43915A7}"/>
    <cellStyle name="Normal 4 2 2 3 2 2 6 3" xfId="6371" xr:uid="{00000000-0005-0000-0000-000019120000}"/>
    <cellStyle name="Normal 4 2 2 3 2 2 6 3 2" xfId="15697" xr:uid="{661B9300-7139-4D4D-BE81-B2A806051F4E}"/>
    <cellStyle name="Normal 4 2 2 3 2 2 6 4" xfId="11480" xr:uid="{85533F25-D4ED-4223-A4B4-4DE94B02D982}"/>
    <cellStyle name="Normal 4 2 2 3 2 2 7" xfId="2501" xr:uid="{00000000-0005-0000-0000-00001A120000}"/>
    <cellStyle name="Normal 4 2 2 3 2 2 7 2" xfId="6784" xr:uid="{00000000-0005-0000-0000-00001B120000}"/>
    <cellStyle name="Normal 4 2 2 3 2 2 7 2 2" xfId="16110" xr:uid="{47419D67-FDD8-4B99-821A-E2CF811D6CD9}"/>
    <cellStyle name="Normal 4 2 2 3 2 2 7 3" xfId="11893" xr:uid="{7A31BE23-A47E-411F-A5F0-144C9CA22D48}"/>
    <cellStyle name="Normal 4 2 2 3 2 2 8" xfId="4719" xr:uid="{00000000-0005-0000-0000-00001C120000}"/>
    <cellStyle name="Normal 4 2 2 3 2 2 8 2" xfId="14045" xr:uid="{243A7726-A400-4937-A22A-E9511B8F490E}"/>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4F6A2AEE-2BB6-475B-B0B6-5EAF212CB9AC}"/>
    <cellStyle name="Normal 4 2 2 3 2 3 2 2 3" xfId="12388" xr:uid="{E21EA436-6F7E-4158-83D3-5279854FEB83}"/>
    <cellStyle name="Normal 4 2 2 3 2 3 2 3" xfId="5134" xr:uid="{00000000-0005-0000-0000-000021120000}"/>
    <cellStyle name="Normal 4 2 2 3 2 3 2 3 2" xfId="14460" xr:uid="{830239F4-1C5B-4B15-B9A4-5CE2D70DA672}"/>
    <cellStyle name="Normal 4 2 2 3 2 3 2 4" xfId="9451" xr:uid="{85AA9164-95F1-48F2-907A-54AD445D074F}"/>
    <cellStyle name="Normal 4 2 2 3 2 3 2 5" xfId="10243" xr:uid="{46D02A50-7864-4309-9F2E-50EB82C2B619}"/>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7DED16F8-AC08-4E5F-B709-528143ABB95F}"/>
    <cellStyle name="Normal 4 2 2 3 2 3 3 2 3" xfId="12801" xr:uid="{AA20FD8F-20E6-4A16-91E1-AD36E8E1F40F}"/>
    <cellStyle name="Normal 4 2 2 3 2 3 3 3" xfId="5547" xr:uid="{00000000-0005-0000-0000-000025120000}"/>
    <cellStyle name="Normal 4 2 2 3 2 3 3 3 2" xfId="14873" xr:uid="{340862B1-084E-4C05-9899-D1CB06247625}"/>
    <cellStyle name="Normal 4 2 2 3 2 3 3 4" xfId="10656" xr:uid="{B8DCAC0E-626A-46CB-A128-12909DB01EC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E4B6C97F-BD70-43A0-8C8B-E32D9A73F754}"/>
    <cellStyle name="Normal 4 2 2 3 2 3 4 2 3" xfId="13214" xr:uid="{65154D44-13D4-4BB6-9833-767898A53980}"/>
    <cellStyle name="Normal 4 2 2 3 2 3 4 3" xfId="5960" xr:uid="{00000000-0005-0000-0000-000029120000}"/>
    <cellStyle name="Normal 4 2 2 3 2 3 4 3 2" xfId="15286" xr:uid="{DF5CA3A6-CADB-483A-949A-3C86FF964374}"/>
    <cellStyle name="Normal 4 2 2 3 2 3 4 4" xfId="11069" xr:uid="{9E158FB4-FBDB-4C22-A06C-4BE7DD9078FB}"/>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1BB5FE62-3D93-4993-B6D7-568862F32406}"/>
    <cellStyle name="Normal 4 2 2 3 2 3 5 2 3" xfId="13627" xr:uid="{4805B81E-C7E6-42FD-82D5-3EE6495DA023}"/>
    <cellStyle name="Normal 4 2 2 3 2 3 5 3" xfId="6373" xr:uid="{00000000-0005-0000-0000-00002D120000}"/>
    <cellStyle name="Normal 4 2 2 3 2 3 5 3 2" xfId="15699" xr:uid="{9B0E671A-B154-4879-B044-756F2C823F20}"/>
    <cellStyle name="Normal 4 2 2 3 2 3 5 4" xfId="11482" xr:uid="{A1D7C458-2868-4302-A289-9A0970829482}"/>
    <cellStyle name="Normal 4 2 2 3 2 3 6" xfId="2503" xr:uid="{00000000-0005-0000-0000-00002E120000}"/>
    <cellStyle name="Normal 4 2 2 3 2 3 6 2" xfId="6786" xr:uid="{00000000-0005-0000-0000-00002F120000}"/>
    <cellStyle name="Normal 4 2 2 3 2 3 6 2 2" xfId="16112" xr:uid="{82A7C1E3-615D-4C7C-8A8C-A3067E113D97}"/>
    <cellStyle name="Normal 4 2 2 3 2 3 6 3" xfId="11895" xr:uid="{8168C6F1-E133-4652-ADCF-2056357F147D}"/>
    <cellStyle name="Normal 4 2 2 3 2 3 7" xfId="4721" xr:uid="{00000000-0005-0000-0000-000030120000}"/>
    <cellStyle name="Normal 4 2 2 3 2 3 7 2" xfId="14047" xr:uid="{DF16C21C-980E-4945-8294-07B2F694AEC7}"/>
    <cellStyle name="Normal 4 2 2 3 2 3 8" xfId="9026" xr:uid="{319D63D3-F71C-4F99-9FD1-E3D0665567E8}"/>
    <cellStyle name="Normal 4 2 2 3 2 3 9" xfId="9830" xr:uid="{CBF138EB-0D6B-40E1-A159-C0449D877119}"/>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9EBD8D18-C7FD-4914-AC67-3D316FCDAE70}"/>
    <cellStyle name="Normal 4 2 2 3 2 4 2 3" xfId="12385" xr:uid="{6BCAC77D-A4E9-4877-A1ED-528E60242618}"/>
    <cellStyle name="Normal 4 2 2 3 2 4 3" xfId="5131" xr:uid="{00000000-0005-0000-0000-000034120000}"/>
    <cellStyle name="Normal 4 2 2 3 2 4 3 2" xfId="14457" xr:uid="{B5F5FE89-5184-498F-9BC3-DED74D3662AB}"/>
    <cellStyle name="Normal 4 2 2 3 2 4 4" xfId="9244" xr:uid="{98623F27-324A-40DE-AA2B-56E1FCE087EE}"/>
    <cellStyle name="Normal 4 2 2 3 2 4 5" xfId="10240" xr:uid="{CC7A6802-5402-4A60-8E3B-E4D2AAAD349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CD16A795-8528-4270-84EC-0F7E66B28993}"/>
    <cellStyle name="Normal 4 2 2 3 2 5 2 3" xfId="12798" xr:uid="{2DACD0E1-DFE0-4A16-9223-45D3D9EF15CE}"/>
    <cellStyle name="Normal 4 2 2 3 2 5 3" xfId="5544" xr:uid="{00000000-0005-0000-0000-000038120000}"/>
    <cellStyle name="Normal 4 2 2 3 2 5 3 2" xfId="14870" xr:uid="{F4224C0C-5291-4731-B76E-AA3CF066CED6}"/>
    <cellStyle name="Normal 4 2 2 3 2 5 4" xfId="10653" xr:uid="{E1494162-EDF1-4481-B890-C40A30E79508}"/>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E4A7BFAC-5BCC-4A12-900C-D4C05A6E5AEA}"/>
    <cellStyle name="Normal 4 2 2 3 2 6 2 3" xfId="13211" xr:uid="{CB696F68-7FD1-4EF8-B6A5-510FADA97266}"/>
    <cellStyle name="Normal 4 2 2 3 2 6 3" xfId="5957" xr:uid="{00000000-0005-0000-0000-00003C120000}"/>
    <cellStyle name="Normal 4 2 2 3 2 6 3 2" xfId="15283" xr:uid="{CEF59CAD-51D5-418D-87A9-24E96DCBDE83}"/>
    <cellStyle name="Normal 4 2 2 3 2 6 4" xfId="11066" xr:uid="{A05FD8D2-E1CC-4199-8E0A-51E00F532F26}"/>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AFDB6B91-B8B8-4392-A22A-C2A1E00E2007}"/>
    <cellStyle name="Normal 4 2 2 3 2 7 2 3" xfId="13624" xr:uid="{C395E924-0623-485D-97DD-2F75B73D704F}"/>
    <cellStyle name="Normal 4 2 2 3 2 7 3" xfId="6370" xr:uid="{00000000-0005-0000-0000-000040120000}"/>
    <cellStyle name="Normal 4 2 2 3 2 7 3 2" xfId="15696" xr:uid="{D1B80531-29EF-414C-86E9-A330CE5DDE33}"/>
    <cellStyle name="Normal 4 2 2 3 2 7 4" xfId="11479" xr:uid="{4C25899F-01F5-4042-8961-0D4B5DF6AC5C}"/>
    <cellStyle name="Normal 4 2 2 3 2 8" xfId="2500" xr:uid="{00000000-0005-0000-0000-000041120000}"/>
    <cellStyle name="Normal 4 2 2 3 2 8 2" xfId="6783" xr:uid="{00000000-0005-0000-0000-000042120000}"/>
    <cellStyle name="Normal 4 2 2 3 2 8 2 2" xfId="16109" xr:uid="{F57566C3-550A-4308-9764-5B4B8231C21A}"/>
    <cellStyle name="Normal 4 2 2 3 2 8 3" xfId="11892" xr:uid="{101BA63E-6BFC-401E-9A3F-2CDFD71435CD}"/>
    <cellStyle name="Normal 4 2 2 3 2 9" xfId="4718" xr:uid="{00000000-0005-0000-0000-000043120000}"/>
    <cellStyle name="Normal 4 2 2 3 2 9 2" xfId="14044" xr:uid="{89D1BE69-F9BF-4326-8726-CC3802AF5FF3}"/>
    <cellStyle name="Normal 4 2 2 3 3" xfId="344" xr:uid="{00000000-0005-0000-0000-000044120000}"/>
    <cellStyle name="Normal 4 2 2 3 3 10" xfId="9831" xr:uid="{3A018B52-314A-4D30-8F94-9A35120B2C3F}"/>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4820C1EB-43A5-4CA3-90BB-B30F6EF659A2}"/>
    <cellStyle name="Normal 4 2 2 3 3 2 2 2 3" xfId="12390" xr:uid="{8DA74FB5-17B9-48DB-B984-A7ECD044346E}"/>
    <cellStyle name="Normal 4 2 2 3 3 2 2 3" xfId="5136" xr:uid="{00000000-0005-0000-0000-000049120000}"/>
    <cellStyle name="Normal 4 2 2 3 3 2 2 3 2" xfId="14462" xr:uid="{89B512F2-8047-41C1-BFA5-E763F11EC52D}"/>
    <cellStyle name="Normal 4 2 2 3 3 2 2 4" xfId="9519" xr:uid="{FB4BBD6E-D73B-4ABD-8656-6C15D7932E02}"/>
    <cellStyle name="Normal 4 2 2 3 3 2 2 5" xfId="10245" xr:uid="{688C2683-C32B-4D6F-BEE2-A75B5D78B63D}"/>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61B914D0-7EA3-446D-9DF4-43C5D17D42BC}"/>
    <cellStyle name="Normal 4 2 2 3 3 2 3 2 3" xfId="12803" xr:uid="{20EB19E9-9329-4860-A28F-A6735EE0E59A}"/>
    <cellStyle name="Normal 4 2 2 3 3 2 3 3" xfId="5549" xr:uid="{00000000-0005-0000-0000-00004D120000}"/>
    <cellStyle name="Normal 4 2 2 3 3 2 3 3 2" xfId="14875" xr:uid="{978F6D01-DC43-4324-BF68-F98FD57CB153}"/>
    <cellStyle name="Normal 4 2 2 3 3 2 3 4" xfId="10658" xr:uid="{85AB48A2-628C-4AAE-B40A-61B3E0B88845}"/>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C58D948F-A12A-4C3D-B8B3-F6891270635A}"/>
    <cellStyle name="Normal 4 2 2 3 3 2 4 2 3" xfId="13216" xr:uid="{2DC4CE61-3F9C-4CEF-84F6-F876A684CD41}"/>
    <cellStyle name="Normal 4 2 2 3 3 2 4 3" xfId="5962" xr:uid="{00000000-0005-0000-0000-000051120000}"/>
    <cellStyle name="Normal 4 2 2 3 3 2 4 3 2" xfId="15288" xr:uid="{B9B97DF0-93A3-4C96-849E-B15A05D46D3E}"/>
    <cellStyle name="Normal 4 2 2 3 3 2 4 4" xfId="11071" xr:uid="{EFD6099B-91EE-465B-8A77-658986B7FBEE}"/>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61D59FD4-6A16-4FFD-B72C-9BACB5213D1D}"/>
    <cellStyle name="Normal 4 2 2 3 3 2 5 2 3" xfId="13629" xr:uid="{0BA54D11-100A-420B-983D-C46F62918638}"/>
    <cellStyle name="Normal 4 2 2 3 3 2 5 3" xfId="6375" xr:uid="{00000000-0005-0000-0000-000055120000}"/>
    <cellStyle name="Normal 4 2 2 3 3 2 5 3 2" xfId="15701" xr:uid="{65208497-87B6-4FBB-B63A-EC09A4650CB0}"/>
    <cellStyle name="Normal 4 2 2 3 3 2 5 4" xfId="11484" xr:uid="{848F79A2-EA74-4C0B-89AF-AC693654DE8B}"/>
    <cellStyle name="Normal 4 2 2 3 3 2 6" xfId="2505" xr:uid="{00000000-0005-0000-0000-000056120000}"/>
    <cellStyle name="Normal 4 2 2 3 3 2 6 2" xfId="6788" xr:uid="{00000000-0005-0000-0000-000057120000}"/>
    <cellStyle name="Normal 4 2 2 3 3 2 6 2 2" xfId="16114" xr:uid="{B05F464B-100C-4D09-8099-F71B42C3B488}"/>
    <cellStyle name="Normal 4 2 2 3 3 2 6 3" xfId="11897" xr:uid="{2DA31E06-0625-4BAE-AB27-FFAB188B51C4}"/>
    <cellStyle name="Normal 4 2 2 3 3 2 7" xfId="4723" xr:uid="{00000000-0005-0000-0000-000058120000}"/>
    <cellStyle name="Normal 4 2 2 3 3 2 7 2" xfId="14049" xr:uid="{5A947103-0793-43B0-A1C1-5E6C1A90251B}"/>
    <cellStyle name="Normal 4 2 2 3 3 2 8" xfId="9094" xr:uid="{1333D468-E252-4686-88C1-38A56B910A8E}"/>
    <cellStyle name="Normal 4 2 2 3 3 2 9" xfId="9832" xr:uid="{DFEAC188-255C-4BA8-AB97-8AA952CB6526}"/>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7ECCC9CD-C493-462B-AA09-89118B2E7CA1}"/>
    <cellStyle name="Normal 4 2 2 3 3 3 2 3" xfId="12389" xr:uid="{4EC3CD53-A740-4D73-AD3D-54B6040B136B}"/>
    <cellStyle name="Normal 4 2 2 3 3 3 3" xfId="5135" xr:uid="{00000000-0005-0000-0000-00005C120000}"/>
    <cellStyle name="Normal 4 2 2 3 3 3 3 2" xfId="14461" xr:uid="{46C1E4C8-1399-4686-BEE7-DC31E1613AC0}"/>
    <cellStyle name="Normal 4 2 2 3 3 3 4" xfId="9312" xr:uid="{0065946C-778C-4913-8F8B-68BBB1A30769}"/>
    <cellStyle name="Normal 4 2 2 3 3 3 5" xfId="10244" xr:uid="{5CAA8A1A-F0F4-4061-8B7B-C5F166CA2C13}"/>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13ACD33D-CC07-429F-99AF-F4EB3AA648EE}"/>
    <cellStyle name="Normal 4 2 2 3 3 4 2 3" xfId="12802" xr:uid="{4ECC4748-D489-4FEF-885B-7CF3979D1776}"/>
    <cellStyle name="Normal 4 2 2 3 3 4 3" xfId="5548" xr:uid="{00000000-0005-0000-0000-000060120000}"/>
    <cellStyle name="Normal 4 2 2 3 3 4 3 2" xfId="14874" xr:uid="{36BE0234-1B4E-4EEA-B2BD-86A0C6B55839}"/>
    <cellStyle name="Normal 4 2 2 3 3 4 4" xfId="10657" xr:uid="{493B92A0-F196-487A-9BAA-81FF0DC333B7}"/>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5DFE02B1-715B-452F-B084-B8649E60B279}"/>
    <cellStyle name="Normal 4 2 2 3 3 5 2 3" xfId="13215" xr:uid="{D40B7DB6-35F5-4468-910A-043CCF04EBF9}"/>
    <cellStyle name="Normal 4 2 2 3 3 5 3" xfId="5961" xr:uid="{00000000-0005-0000-0000-000064120000}"/>
    <cellStyle name="Normal 4 2 2 3 3 5 3 2" xfId="15287" xr:uid="{B5E785E2-CD33-4AFE-9737-C926982D03F0}"/>
    <cellStyle name="Normal 4 2 2 3 3 5 4" xfId="11070" xr:uid="{4424AF66-D0C4-4CC5-B074-24D7CB171293}"/>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FA7F9AED-16AC-4E5E-9B86-018D098B293F}"/>
    <cellStyle name="Normal 4 2 2 3 3 6 2 3" xfId="13628" xr:uid="{5B9022B4-C317-4D64-933A-8F0EF93D3C40}"/>
    <cellStyle name="Normal 4 2 2 3 3 6 3" xfId="6374" xr:uid="{00000000-0005-0000-0000-000068120000}"/>
    <cellStyle name="Normal 4 2 2 3 3 6 3 2" xfId="15700" xr:uid="{E61666BC-F428-438D-9A4D-5861E5D06B62}"/>
    <cellStyle name="Normal 4 2 2 3 3 6 4" xfId="11483" xr:uid="{EBF58D39-6E23-44F9-B236-8B70CFBB26F3}"/>
    <cellStyle name="Normal 4 2 2 3 3 7" xfId="2504" xr:uid="{00000000-0005-0000-0000-000069120000}"/>
    <cellStyle name="Normal 4 2 2 3 3 7 2" xfId="6787" xr:uid="{00000000-0005-0000-0000-00006A120000}"/>
    <cellStyle name="Normal 4 2 2 3 3 7 2 2" xfId="16113" xr:uid="{942323C5-1888-4D15-AED6-5FC2342398A1}"/>
    <cellStyle name="Normal 4 2 2 3 3 7 3" xfId="11896" xr:uid="{3F6C4B25-A5E9-4591-89E6-55989D9842EC}"/>
    <cellStyle name="Normal 4 2 2 3 3 8" xfId="4722" xr:uid="{00000000-0005-0000-0000-00006B120000}"/>
    <cellStyle name="Normal 4 2 2 3 3 8 2" xfId="14048" xr:uid="{A361B527-B985-4843-B8DA-7E85644CFDAC}"/>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FB5510D0-30E4-404B-8D0D-7B17036FC0FA}"/>
    <cellStyle name="Normal 4 2 2 3 4 2 2 3" xfId="12391" xr:uid="{BAFBDF1E-3692-44DA-965E-C240C5936BED}"/>
    <cellStyle name="Normal 4 2 2 3 4 2 3" xfId="5137" xr:uid="{00000000-0005-0000-0000-000070120000}"/>
    <cellStyle name="Normal 4 2 2 3 4 2 3 2" xfId="14463" xr:uid="{070C6145-3D4E-40A6-9041-F1CA87EBE2E0}"/>
    <cellStyle name="Normal 4 2 2 3 4 2 4" xfId="9416" xr:uid="{B0F1A5CD-0EDE-48A7-9669-6902681F696C}"/>
    <cellStyle name="Normal 4 2 2 3 4 2 5" xfId="10246" xr:uid="{80F6E19E-D28E-4AB4-8A61-E26714EC2948}"/>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8F3E4641-629B-4D82-883F-A6388F13235D}"/>
    <cellStyle name="Normal 4 2 2 3 4 3 2 3" xfId="12804" xr:uid="{D07989CF-C0EB-463F-9DF5-AF1FD85ABC1D}"/>
    <cellStyle name="Normal 4 2 2 3 4 3 3" xfId="5550" xr:uid="{00000000-0005-0000-0000-000074120000}"/>
    <cellStyle name="Normal 4 2 2 3 4 3 3 2" xfId="14876" xr:uid="{A86E9D33-023A-4DFD-8DBD-0506230E58A3}"/>
    <cellStyle name="Normal 4 2 2 3 4 3 4" xfId="10659" xr:uid="{69AD485F-EA6C-4D33-9822-808429B30C0D}"/>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A140C891-DBCC-4CAB-814E-BDD0208A19C0}"/>
    <cellStyle name="Normal 4 2 2 3 4 4 2 3" xfId="13217" xr:uid="{92997826-9571-47EC-8A2E-84E2451F3D8C}"/>
    <cellStyle name="Normal 4 2 2 3 4 4 3" xfId="5963" xr:uid="{00000000-0005-0000-0000-000078120000}"/>
    <cellStyle name="Normal 4 2 2 3 4 4 3 2" xfId="15289" xr:uid="{545C1132-B56A-40BD-973E-DFA9C5D926C4}"/>
    <cellStyle name="Normal 4 2 2 3 4 4 4" xfId="11072" xr:uid="{D32E97A7-3A02-499C-8D30-3FC249365E18}"/>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4DD03807-6595-4AD8-BA77-441B46610716}"/>
    <cellStyle name="Normal 4 2 2 3 4 5 2 3" xfId="13630" xr:uid="{D1AC4599-CEB1-4393-ACBE-878BC4F21AD3}"/>
    <cellStyle name="Normal 4 2 2 3 4 5 3" xfId="6376" xr:uid="{00000000-0005-0000-0000-00007C120000}"/>
    <cellStyle name="Normal 4 2 2 3 4 5 3 2" xfId="15702" xr:uid="{6E39C6E0-220B-43CD-9846-213F8476C280}"/>
    <cellStyle name="Normal 4 2 2 3 4 5 4" xfId="11485" xr:uid="{3A12E811-2A4E-40D8-A881-BFD92E178E11}"/>
    <cellStyle name="Normal 4 2 2 3 4 6" xfId="2506" xr:uid="{00000000-0005-0000-0000-00007D120000}"/>
    <cellStyle name="Normal 4 2 2 3 4 6 2" xfId="6789" xr:uid="{00000000-0005-0000-0000-00007E120000}"/>
    <cellStyle name="Normal 4 2 2 3 4 6 2 2" xfId="16115" xr:uid="{9AA688F1-3407-40EB-B3F1-74A99DA346E5}"/>
    <cellStyle name="Normal 4 2 2 3 4 6 3" xfId="11898" xr:uid="{1CE31FD4-7948-47E0-B104-5CB2A53E3832}"/>
    <cellStyle name="Normal 4 2 2 3 4 7" xfId="4724" xr:uid="{00000000-0005-0000-0000-00007F120000}"/>
    <cellStyle name="Normal 4 2 2 3 4 7 2" xfId="14050" xr:uid="{EBF3BDD8-8574-4711-90E9-1E02CD7A4244}"/>
    <cellStyle name="Normal 4 2 2 3 4 8" xfId="8991" xr:uid="{84464EC3-90C2-4B18-8399-135C935528F7}"/>
    <cellStyle name="Normal 4 2 2 3 4 9" xfId="9833" xr:uid="{07280313-1730-4A94-BAF6-42821FDBE13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38E5A3A0-0BA6-40B3-8520-0FC365908C3C}"/>
    <cellStyle name="Normal 4 2 2 3 5 2 3" xfId="12384" xr:uid="{2A568D8F-413A-4E01-B2C9-2052202AABBA}"/>
    <cellStyle name="Normal 4 2 2 3 5 3" xfId="5130" xr:uid="{00000000-0005-0000-0000-000083120000}"/>
    <cellStyle name="Normal 4 2 2 3 5 3 2" xfId="14456" xr:uid="{8C34F331-48B0-4984-B590-A26BD2397565}"/>
    <cellStyle name="Normal 4 2 2 3 5 4" xfId="9208" xr:uid="{7BF9CD11-B90D-42F2-928D-A8BE344C6F46}"/>
    <cellStyle name="Normal 4 2 2 3 5 5" xfId="10239" xr:uid="{D05A131F-E1CA-43C5-B71F-B9C2B8A8C408}"/>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9C31D744-B7CA-4780-B395-94F06ABC7472}"/>
    <cellStyle name="Normal 4 2 2 3 6 2 3" xfId="12797" xr:uid="{C4634DFD-6CFF-4FB7-B22B-D377588E7DB3}"/>
    <cellStyle name="Normal 4 2 2 3 6 3" xfId="5543" xr:uid="{00000000-0005-0000-0000-000087120000}"/>
    <cellStyle name="Normal 4 2 2 3 6 3 2" xfId="14869" xr:uid="{7A142113-4401-4050-91D4-90F4B71328DD}"/>
    <cellStyle name="Normal 4 2 2 3 6 4" xfId="10652" xr:uid="{D05CDEBC-9867-485F-87A7-3BF2BF9BB798}"/>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27DC79D9-C4EC-4AE6-8594-B8EA42451BFE}"/>
    <cellStyle name="Normal 4 2 2 3 7 2 3" xfId="13210" xr:uid="{C6E15D70-E30E-4EA6-842B-67805949F42A}"/>
    <cellStyle name="Normal 4 2 2 3 7 3" xfId="5956" xr:uid="{00000000-0005-0000-0000-00008B120000}"/>
    <cellStyle name="Normal 4 2 2 3 7 3 2" xfId="15282" xr:uid="{C518408A-8282-40DC-B981-39962BAE6152}"/>
    <cellStyle name="Normal 4 2 2 3 7 4" xfId="11065" xr:uid="{9D853654-119A-40AD-9875-21DD8C59D455}"/>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9306D8E0-9EED-4913-88B7-1D0B21F593A9}"/>
    <cellStyle name="Normal 4 2 2 3 8 2 3" xfId="13623" xr:uid="{F59D8B3F-B474-42FC-B785-C42274C4AEE6}"/>
    <cellStyle name="Normal 4 2 2 3 8 3" xfId="6369" xr:uid="{00000000-0005-0000-0000-00008F120000}"/>
    <cellStyle name="Normal 4 2 2 3 8 3 2" xfId="15695" xr:uid="{356B0FBF-A8BF-48A3-BFEB-1D8E0FD5681F}"/>
    <cellStyle name="Normal 4 2 2 3 8 4" xfId="11478" xr:uid="{0BF8B0C3-9A90-4566-80A9-028AA8BE5F88}"/>
    <cellStyle name="Normal 4 2 2 3 9" xfId="2499" xr:uid="{00000000-0005-0000-0000-000090120000}"/>
    <cellStyle name="Normal 4 2 2 3 9 2" xfId="6782" xr:uid="{00000000-0005-0000-0000-000091120000}"/>
    <cellStyle name="Normal 4 2 2 3 9 2 2" xfId="16108" xr:uid="{E45B6BE6-A8D2-4484-AD3C-911622406C6E}"/>
    <cellStyle name="Normal 4 2 2 3 9 3" xfId="11891" xr:uid="{93BFC6E9-025F-4F92-90B5-FDE03DF75176}"/>
    <cellStyle name="Normal 4 2 2 4" xfId="347" xr:uid="{00000000-0005-0000-0000-000092120000}"/>
    <cellStyle name="Normal 4 2 2 4 10" xfId="8818" xr:uid="{A73977A7-52C6-4368-9F59-166E1B99BBDE}"/>
    <cellStyle name="Normal 4 2 2 4 11" xfId="9834" xr:uid="{86170EF1-15D3-434E-81C6-63A75D023530}"/>
    <cellStyle name="Normal 4 2 2 4 2" xfId="348" xr:uid="{00000000-0005-0000-0000-000093120000}"/>
    <cellStyle name="Normal 4 2 2 4 2 10" xfId="9835" xr:uid="{64ADF006-C8A1-408A-A909-6A9546B25EB9}"/>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C5480AB0-ADD0-4A08-A474-E18005774D3E}"/>
    <cellStyle name="Normal 4 2 2 4 2 2 2 2 3" xfId="12394" xr:uid="{4830F909-DDD8-415E-95B9-7CFB51903310}"/>
    <cellStyle name="Normal 4 2 2 4 2 2 2 3" xfId="5140" xr:uid="{00000000-0005-0000-0000-000098120000}"/>
    <cellStyle name="Normal 4 2 2 4 2 2 2 3 2" xfId="14466" xr:uid="{4E33962B-B3F4-4E69-8088-DB870D861C84}"/>
    <cellStyle name="Normal 4 2 2 4 2 2 2 4" xfId="9553" xr:uid="{7FCAF883-2374-4470-BA95-AD8EB054639C}"/>
    <cellStyle name="Normal 4 2 2 4 2 2 2 5" xfId="10249" xr:uid="{B846235D-C5FA-46FE-A12F-35461D293BDB}"/>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246E8B5B-9DFA-4746-8726-1B4918702C98}"/>
    <cellStyle name="Normal 4 2 2 4 2 2 3 2 3" xfId="12807" xr:uid="{9C782B97-286E-45E8-9377-EC707EF6A58E}"/>
    <cellStyle name="Normal 4 2 2 4 2 2 3 3" xfId="5553" xr:uid="{00000000-0005-0000-0000-00009C120000}"/>
    <cellStyle name="Normal 4 2 2 4 2 2 3 3 2" xfId="14879" xr:uid="{EB6BCD0D-768C-4C21-8EB2-0A1E53E987F4}"/>
    <cellStyle name="Normal 4 2 2 4 2 2 3 4" xfId="10662" xr:uid="{F0E375A1-D9AD-45AB-A81C-DA513C34D3C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70410738-5DC3-479E-8A18-4A4350FBFF1D}"/>
    <cellStyle name="Normal 4 2 2 4 2 2 4 2 3" xfId="13220" xr:uid="{DA7E6FFA-F9F0-4E1C-8C57-AD40CB824FF5}"/>
    <cellStyle name="Normal 4 2 2 4 2 2 4 3" xfId="5966" xr:uid="{00000000-0005-0000-0000-0000A0120000}"/>
    <cellStyle name="Normal 4 2 2 4 2 2 4 3 2" xfId="15292" xr:uid="{874BF9E1-B379-457A-AF2B-2106518015E5}"/>
    <cellStyle name="Normal 4 2 2 4 2 2 4 4" xfId="11075" xr:uid="{DC981E0A-4067-4F4B-9C89-0A78B37EAED3}"/>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9C2039C4-08B8-42E4-8AED-33267A6FE89D}"/>
    <cellStyle name="Normal 4 2 2 4 2 2 5 2 3" xfId="13633" xr:uid="{003BD050-5BBC-44B3-AF96-A050B9BE349E}"/>
    <cellStyle name="Normal 4 2 2 4 2 2 5 3" xfId="6379" xr:uid="{00000000-0005-0000-0000-0000A4120000}"/>
    <cellStyle name="Normal 4 2 2 4 2 2 5 3 2" xfId="15705" xr:uid="{DD7BF9C6-BB3A-44AD-9181-71C099D8BA63}"/>
    <cellStyle name="Normal 4 2 2 4 2 2 5 4" xfId="11488" xr:uid="{9A515F31-0B5B-4C85-AC6F-A546D1B621C3}"/>
    <cellStyle name="Normal 4 2 2 4 2 2 6" xfId="2509" xr:uid="{00000000-0005-0000-0000-0000A5120000}"/>
    <cellStyle name="Normal 4 2 2 4 2 2 6 2" xfId="6792" xr:uid="{00000000-0005-0000-0000-0000A6120000}"/>
    <cellStyle name="Normal 4 2 2 4 2 2 6 2 2" xfId="16118" xr:uid="{937669C6-A7CD-4BB8-8AF1-5D646C69F1B6}"/>
    <cellStyle name="Normal 4 2 2 4 2 2 6 3" xfId="11901" xr:uid="{0E594416-C267-4CC5-BBFA-D22CFE870F02}"/>
    <cellStyle name="Normal 4 2 2 4 2 2 7" xfId="4727" xr:uid="{00000000-0005-0000-0000-0000A7120000}"/>
    <cellStyle name="Normal 4 2 2 4 2 2 7 2" xfId="14053" xr:uid="{E165151D-4A8D-46F1-808A-613C723125EB}"/>
    <cellStyle name="Normal 4 2 2 4 2 2 8" xfId="9128" xr:uid="{3D9AD2A4-E3D1-4BAF-8F43-BFB1FE8E222D}"/>
    <cellStyle name="Normal 4 2 2 4 2 2 9" xfId="9836" xr:uid="{7DD7F587-CEE9-46EE-89CB-00BE60BB3CA5}"/>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428175A4-25C6-4E54-B4C1-78126071A6AC}"/>
    <cellStyle name="Normal 4 2 2 4 2 3 2 3" xfId="12393" xr:uid="{8C516B88-280F-48FA-B9A5-419F48D9A5EE}"/>
    <cellStyle name="Normal 4 2 2 4 2 3 3" xfId="5139" xr:uid="{00000000-0005-0000-0000-0000AB120000}"/>
    <cellStyle name="Normal 4 2 2 4 2 3 3 2" xfId="14465" xr:uid="{E3A586E3-35BE-41AA-BC10-48B23F112F62}"/>
    <cellStyle name="Normal 4 2 2 4 2 3 4" xfId="9346" xr:uid="{11110DEC-01F5-467C-B0F9-3286FF7E57CB}"/>
    <cellStyle name="Normal 4 2 2 4 2 3 5" xfId="10248" xr:uid="{606DA676-C818-4888-98CB-6DC08089431E}"/>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6D129E8D-A0FB-4E27-A2A0-A6E3878E87F4}"/>
    <cellStyle name="Normal 4 2 2 4 2 4 2 3" xfId="12806" xr:uid="{19D07807-475A-459F-A4A0-C06D06A218B4}"/>
    <cellStyle name="Normal 4 2 2 4 2 4 3" xfId="5552" xr:uid="{00000000-0005-0000-0000-0000AF120000}"/>
    <cellStyle name="Normal 4 2 2 4 2 4 3 2" xfId="14878" xr:uid="{1F8EBC35-C769-4C8A-AC6C-B50C5EED2EC0}"/>
    <cellStyle name="Normal 4 2 2 4 2 4 4" xfId="10661" xr:uid="{540F74D4-288E-4864-BD0E-397C91E8BEE5}"/>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CD4BF98E-1B7C-4AC4-9828-0CFD4F023EA0}"/>
    <cellStyle name="Normal 4 2 2 4 2 5 2 3" xfId="13219" xr:uid="{CD918D2C-C016-483B-9E93-40484340F325}"/>
    <cellStyle name="Normal 4 2 2 4 2 5 3" xfId="5965" xr:uid="{00000000-0005-0000-0000-0000B3120000}"/>
    <cellStyle name="Normal 4 2 2 4 2 5 3 2" xfId="15291" xr:uid="{50F7F8E5-9C52-42DB-B4FC-250F02260D75}"/>
    <cellStyle name="Normal 4 2 2 4 2 5 4" xfId="11074" xr:uid="{459F2DF4-8C9E-4436-8C7F-AF126B61D865}"/>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B729D6D5-69DE-495A-8BBD-72D0E9EB4180}"/>
    <cellStyle name="Normal 4 2 2 4 2 6 2 3" xfId="13632" xr:uid="{0D88882D-4274-4FD0-90C9-2C30EED8A139}"/>
    <cellStyle name="Normal 4 2 2 4 2 6 3" xfId="6378" xr:uid="{00000000-0005-0000-0000-0000B7120000}"/>
    <cellStyle name="Normal 4 2 2 4 2 6 3 2" xfId="15704" xr:uid="{907446EF-19AB-4215-AF11-D88F761058A9}"/>
    <cellStyle name="Normal 4 2 2 4 2 6 4" xfId="11487" xr:uid="{64D22DAE-374D-4D52-A013-C782F7A56004}"/>
    <cellStyle name="Normal 4 2 2 4 2 7" xfId="2508" xr:uid="{00000000-0005-0000-0000-0000B8120000}"/>
    <cellStyle name="Normal 4 2 2 4 2 7 2" xfId="6791" xr:uid="{00000000-0005-0000-0000-0000B9120000}"/>
    <cellStyle name="Normal 4 2 2 4 2 7 2 2" xfId="16117" xr:uid="{881735BE-82AA-44BA-8E71-BAAE8EC30060}"/>
    <cellStyle name="Normal 4 2 2 4 2 7 3" xfId="11900" xr:uid="{925A56EC-A843-46A4-BFDB-62590143559C}"/>
    <cellStyle name="Normal 4 2 2 4 2 8" xfId="4726" xr:uid="{00000000-0005-0000-0000-0000BA120000}"/>
    <cellStyle name="Normal 4 2 2 4 2 8 2" xfId="14052" xr:uid="{9D4115CF-0065-4C20-8FD1-CFEAC9E65C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B703930A-329C-461B-AD6B-84550E01ABD1}"/>
    <cellStyle name="Normal 4 2 2 4 3 2 2 3" xfId="12395" xr:uid="{C8A990D2-5734-4363-A475-88A05AAE357B}"/>
    <cellStyle name="Normal 4 2 2 4 3 2 3" xfId="5141" xr:uid="{00000000-0005-0000-0000-0000BF120000}"/>
    <cellStyle name="Normal 4 2 2 4 3 2 3 2" xfId="14467" xr:uid="{FA0895D0-AF1A-4514-9DA7-CE5C7D88816C}"/>
    <cellStyle name="Normal 4 2 2 4 3 2 4" xfId="9450" xr:uid="{0F54578A-5DA3-4B6E-9E36-71CC7CD6BFE8}"/>
    <cellStyle name="Normal 4 2 2 4 3 2 5" xfId="10250" xr:uid="{D6AC8D34-A893-43AB-9FE6-328F9CFECD2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D69D9674-C65C-473C-9F88-011C9B27EEC6}"/>
    <cellStyle name="Normal 4 2 2 4 3 3 2 3" xfId="12808" xr:uid="{C3DDFEA4-1EF3-4825-B43D-1BD2DD3E8F46}"/>
    <cellStyle name="Normal 4 2 2 4 3 3 3" xfId="5554" xr:uid="{00000000-0005-0000-0000-0000C3120000}"/>
    <cellStyle name="Normal 4 2 2 4 3 3 3 2" xfId="14880" xr:uid="{059F7166-9A84-4EB9-BAA1-F99D6535EE06}"/>
    <cellStyle name="Normal 4 2 2 4 3 3 4" xfId="10663" xr:uid="{5AB18706-CB3B-416E-AF76-1F15D5EB251A}"/>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07FE75CC-058A-4C58-9409-1A3C6D90EAB0}"/>
    <cellStyle name="Normal 4 2 2 4 3 4 2 3" xfId="13221" xr:uid="{F9D52881-3874-465D-ABF0-18EFA113594F}"/>
    <cellStyle name="Normal 4 2 2 4 3 4 3" xfId="5967" xr:uid="{00000000-0005-0000-0000-0000C7120000}"/>
    <cellStyle name="Normal 4 2 2 4 3 4 3 2" xfId="15293" xr:uid="{867825B3-811F-46AD-8DFD-AB05F9CC8EBF}"/>
    <cellStyle name="Normal 4 2 2 4 3 4 4" xfId="11076" xr:uid="{E0EFC807-B5BE-4DA6-8E3C-328AFB6DB2C1}"/>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51843A48-F8F1-4750-BF47-EEA9332C345A}"/>
    <cellStyle name="Normal 4 2 2 4 3 5 2 3" xfId="13634" xr:uid="{5D72A019-6E27-4644-939D-3DBA404E1CE0}"/>
    <cellStyle name="Normal 4 2 2 4 3 5 3" xfId="6380" xr:uid="{00000000-0005-0000-0000-0000CB120000}"/>
    <cellStyle name="Normal 4 2 2 4 3 5 3 2" xfId="15706" xr:uid="{DA0C0E3F-2354-467C-B6F7-D9DA3A662DB0}"/>
    <cellStyle name="Normal 4 2 2 4 3 5 4" xfId="11489" xr:uid="{7D565F06-3D11-40E1-85F1-E5414B45A6C3}"/>
    <cellStyle name="Normal 4 2 2 4 3 6" xfId="2510" xr:uid="{00000000-0005-0000-0000-0000CC120000}"/>
    <cellStyle name="Normal 4 2 2 4 3 6 2" xfId="6793" xr:uid="{00000000-0005-0000-0000-0000CD120000}"/>
    <cellStyle name="Normal 4 2 2 4 3 6 2 2" xfId="16119" xr:uid="{1CAC906A-96D3-4AD5-89D7-E2C9BB50C504}"/>
    <cellStyle name="Normal 4 2 2 4 3 6 3" xfId="11902" xr:uid="{32430EA6-F905-423C-B31A-9F5F9AAB1BD2}"/>
    <cellStyle name="Normal 4 2 2 4 3 7" xfId="4728" xr:uid="{00000000-0005-0000-0000-0000CE120000}"/>
    <cellStyle name="Normal 4 2 2 4 3 7 2" xfId="14054" xr:uid="{8C4D77B4-C718-4DF2-931A-81E8ADE236AC}"/>
    <cellStyle name="Normal 4 2 2 4 3 8" xfId="9025" xr:uid="{436CB353-A916-4AB2-B5E2-8C1BDAEA1182}"/>
    <cellStyle name="Normal 4 2 2 4 3 9" xfId="9837" xr:uid="{051E8997-16D1-4697-BC48-32B2B735ADAC}"/>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5D7F88B1-5670-43D1-9DAD-364F48503C80}"/>
    <cellStyle name="Normal 4 2 2 4 4 2 3" xfId="12392" xr:uid="{8BF90A3E-0D02-4F24-B997-FD920BB39CBF}"/>
    <cellStyle name="Normal 4 2 2 4 4 3" xfId="5138" xr:uid="{00000000-0005-0000-0000-0000D2120000}"/>
    <cellStyle name="Normal 4 2 2 4 4 3 2" xfId="14464" xr:uid="{59F184F0-32AC-42BC-A777-6D22C7C2622E}"/>
    <cellStyle name="Normal 4 2 2 4 4 4" xfId="9243" xr:uid="{FD46A281-F5BE-478B-950E-209D1D56FC0E}"/>
    <cellStyle name="Normal 4 2 2 4 4 5" xfId="10247" xr:uid="{DAE975A2-26B6-4DB1-9EA4-75FD16EB84FD}"/>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44ADFA69-CFCC-4A34-A271-4323596948C0}"/>
    <cellStyle name="Normal 4 2 2 4 5 2 3" xfId="12805" xr:uid="{F65284C1-E25D-46A7-9CE3-22F90FEFBA6C}"/>
    <cellStyle name="Normal 4 2 2 4 5 3" xfId="5551" xr:uid="{00000000-0005-0000-0000-0000D6120000}"/>
    <cellStyle name="Normal 4 2 2 4 5 3 2" xfId="14877" xr:uid="{88211910-046E-4266-9623-76F9E65C8FA1}"/>
    <cellStyle name="Normal 4 2 2 4 5 4" xfId="10660" xr:uid="{7110DECB-80BF-4FEC-B8F3-6EB1F054A32D}"/>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2DCD634A-3EA7-4B0C-B8CA-0FEDCAC63196}"/>
    <cellStyle name="Normal 4 2 2 4 6 2 3" xfId="13218" xr:uid="{869144B2-797A-4080-9739-64C27B33FB95}"/>
    <cellStyle name="Normal 4 2 2 4 6 3" xfId="5964" xr:uid="{00000000-0005-0000-0000-0000DA120000}"/>
    <cellStyle name="Normal 4 2 2 4 6 3 2" xfId="15290" xr:uid="{75315F0D-1D36-408A-8249-316AAA8B16D5}"/>
    <cellStyle name="Normal 4 2 2 4 6 4" xfId="11073" xr:uid="{DE04B7EA-D64D-43C6-BA86-EBFFDC6A24A2}"/>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71B9DB13-57D9-42FB-9A22-B9BBE83A350C}"/>
    <cellStyle name="Normal 4 2 2 4 7 2 3" xfId="13631" xr:uid="{21B231D4-3CCD-474F-9432-1F492670974E}"/>
    <cellStyle name="Normal 4 2 2 4 7 3" xfId="6377" xr:uid="{00000000-0005-0000-0000-0000DE120000}"/>
    <cellStyle name="Normal 4 2 2 4 7 3 2" xfId="15703" xr:uid="{14CC7B48-D4DA-4785-BED0-E19A5DC6175A}"/>
    <cellStyle name="Normal 4 2 2 4 7 4" xfId="11486" xr:uid="{0E8B79D7-5B59-44EC-ABBB-5DE6112754F7}"/>
    <cellStyle name="Normal 4 2 2 4 8" xfId="2507" xr:uid="{00000000-0005-0000-0000-0000DF120000}"/>
    <cellStyle name="Normal 4 2 2 4 8 2" xfId="6790" xr:uid="{00000000-0005-0000-0000-0000E0120000}"/>
    <cellStyle name="Normal 4 2 2 4 8 2 2" xfId="16116" xr:uid="{85AB2ADC-3314-4690-BBE2-4BB71EA7A335}"/>
    <cellStyle name="Normal 4 2 2 4 8 3" xfId="11899" xr:uid="{5719600E-F6A2-4177-B1D7-E3B3B1804A44}"/>
    <cellStyle name="Normal 4 2 2 4 9" xfId="4725" xr:uid="{00000000-0005-0000-0000-0000E1120000}"/>
    <cellStyle name="Normal 4 2 2 4 9 2" xfId="14051" xr:uid="{49A7FAF9-AE3F-456F-A871-1B328E5F16B6}"/>
    <cellStyle name="Normal 4 2 2 5" xfId="351" xr:uid="{00000000-0005-0000-0000-0000E2120000}"/>
    <cellStyle name="Normal 4 2 2 5 10" xfId="9838" xr:uid="{9B92D869-E0AC-4FA2-B61C-1074571F0503}"/>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86C71743-B928-40CA-AD3D-B61CBAA26438}"/>
    <cellStyle name="Normal 4 2 2 5 2 2 2 3" xfId="12397" xr:uid="{EA715CEA-D9A7-4BB7-BEA6-60BE32AF9102}"/>
    <cellStyle name="Normal 4 2 2 5 2 2 3" xfId="5143" xr:uid="{00000000-0005-0000-0000-0000E7120000}"/>
    <cellStyle name="Normal 4 2 2 5 2 2 3 2" xfId="14469" xr:uid="{7DB61673-8794-4B77-AB4C-B16EC24C32DB}"/>
    <cellStyle name="Normal 4 2 2 5 2 2 4" xfId="9487" xr:uid="{83D2756E-B983-4EA9-AB48-FF4D3E821CE4}"/>
    <cellStyle name="Normal 4 2 2 5 2 2 5" xfId="10252" xr:uid="{CCEE45E0-3798-46A2-B280-9D9F109B0DD2}"/>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6710B218-FDB3-42CB-B31A-74788A16E97B}"/>
    <cellStyle name="Normal 4 2 2 5 2 3 2 3" xfId="12810" xr:uid="{B63BC41C-F627-4D1B-85F3-A9DA2A5077C5}"/>
    <cellStyle name="Normal 4 2 2 5 2 3 3" xfId="5556" xr:uid="{00000000-0005-0000-0000-0000EB120000}"/>
    <cellStyle name="Normal 4 2 2 5 2 3 3 2" xfId="14882" xr:uid="{7A2966E2-2AC1-4517-9C97-721369CEAE15}"/>
    <cellStyle name="Normal 4 2 2 5 2 3 4" xfId="10665" xr:uid="{1B1E34F4-FEA7-4967-8A76-20F7E8A641A4}"/>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A8E785CC-060F-4B91-AD15-4803B7176BB6}"/>
    <cellStyle name="Normal 4 2 2 5 2 4 2 3" xfId="13223" xr:uid="{308D98F7-2B22-4137-A28B-05832DFED63B}"/>
    <cellStyle name="Normal 4 2 2 5 2 4 3" xfId="5969" xr:uid="{00000000-0005-0000-0000-0000EF120000}"/>
    <cellStyle name="Normal 4 2 2 5 2 4 3 2" xfId="15295" xr:uid="{05145BA1-2A82-431D-8826-D0B7AD3BB0FF}"/>
    <cellStyle name="Normal 4 2 2 5 2 4 4" xfId="11078" xr:uid="{5F46F44C-736D-4D5F-91A2-7880944B035B}"/>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98C1F6C9-EE73-426E-A7FF-C7870447B7D9}"/>
    <cellStyle name="Normal 4 2 2 5 2 5 2 3" xfId="13636" xr:uid="{98B1F3CE-3876-4D33-80FE-31E0475E69DB}"/>
    <cellStyle name="Normal 4 2 2 5 2 5 3" xfId="6382" xr:uid="{00000000-0005-0000-0000-0000F3120000}"/>
    <cellStyle name="Normal 4 2 2 5 2 5 3 2" xfId="15708" xr:uid="{5C65EC4D-0540-4026-9F9C-2A15C791F77C}"/>
    <cellStyle name="Normal 4 2 2 5 2 5 4" xfId="11491" xr:uid="{BEE50663-2210-4220-A150-F7605F1A6F63}"/>
    <cellStyle name="Normal 4 2 2 5 2 6" xfId="2512" xr:uid="{00000000-0005-0000-0000-0000F4120000}"/>
    <cellStyle name="Normal 4 2 2 5 2 6 2" xfId="6795" xr:uid="{00000000-0005-0000-0000-0000F5120000}"/>
    <cellStyle name="Normal 4 2 2 5 2 6 2 2" xfId="16121" xr:uid="{88583DAB-A381-4E65-936E-61E9617764B0}"/>
    <cellStyle name="Normal 4 2 2 5 2 6 3" xfId="11904" xr:uid="{D0602250-27EC-4A57-A5C7-64F40D57C0A1}"/>
    <cellStyle name="Normal 4 2 2 5 2 7" xfId="4730" xr:uid="{00000000-0005-0000-0000-0000F6120000}"/>
    <cellStyle name="Normal 4 2 2 5 2 7 2" xfId="14056" xr:uid="{77883D6B-3C7B-4BFC-975F-DF9985A73B32}"/>
    <cellStyle name="Normal 4 2 2 5 2 8" xfId="9062" xr:uid="{FED54422-C2E5-44B3-AA7C-C6088F47A385}"/>
    <cellStyle name="Normal 4 2 2 5 2 9" xfId="9839" xr:uid="{606FCE18-014E-48EF-B193-661B9BCE295B}"/>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A24228DE-80BF-43C9-9011-AD092037DB71}"/>
    <cellStyle name="Normal 4 2 2 5 3 2 3" xfId="12396" xr:uid="{19279973-66E9-4B8E-A47B-4F4CA5F7D718}"/>
    <cellStyle name="Normal 4 2 2 5 3 3" xfId="5142" xr:uid="{00000000-0005-0000-0000-0000FA120000}"/>
    <cellStyle name="Normal 4 2 2 5 3 3 2" xfId="14468" xr:uid="{05CA000F-E523-418F-9946-C0E6F8A6D152}"/>
    <cellStyle name="Normal 4 2 2 5 3 4" xfId="9280" xr:uid="{C70B18D8-E279-4D37-82EF-3177E9FA554F}"/>
    <cellStyle name="Normal 4 2 2 5 3 5" xfId="10251" xr:uid="{09C83ECE-91FD-41FA-858B-3D7B54124128}"/>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A1F1B95C-E012-4BDE-B9A2-DC3595B54758}"/>
    <cellStyle name="Normal 4 2 2 5 4 2 3" xfId="12809" xr:uid="{AC22BDD4-F0E9-465D-8ECE-A13F62310C48}"/>
    <cellStyle name="Normal 4 2 2 5 4 3" xfId="5555" xr:uid="{00000000-0005-0000-0000-0000FE120000}"/>
    <cellStyle name="Normal 4 2 2 5 4 3 2" xfId="14881" xr:uid="{85109EE9-135E-4702-BFB8-C7EF2F9159E2}"/>
    <cellStyle name="Normal 4 2 2 5 4 4" xfId="10664" xr:uid="{F2AAE618-92D5-42FF-B952-397DEFAD4A17}"/>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CCC3901A-6D6A-4C72-A19D-3692623A9FDF}"/>
    <cellStyle name="Normal 4 2 2 5 5 2 3" xfId="13222" xr:uid="{98957767-46EE-4B89-863D-FA41C5AA6CAB}"/>
    <cellStyle name="Normal 4 2 2 5 5 3" xfId="5968" xr:uid="{00000000-0005-0000-0000-000002130000}"/>
    <cellStyle name="Normal 4 2 2 5 5 3 2" xfId="15294" xr:uid="{0E3DE213-D96A-4936-A2AA-2056CE4C6562}"/>
    <cellStyle name="Normal 4 2 2 5 5 4" xfId="11077" xr:uid="{C9256AB5-3725-405D-BA03-1028A52E09CD}"/>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709CC22F-C779-469C-9858-8888A2E7EC75}"/>
    <cellStyle name="Normal 4 2 2 5 6 2 3" xfId="13635" xr:uid="{E70E5C47-EC8A-4670-986F-37ED4E62C2C8}"/>
    <cellStyle name="Normal 4 2 2 5 6 3" xfId="6381" xr:uid="{00000000-0005-0000-0000-000006130000}"/>
    <cellStyle name="Normal 4 2 2 5 6 3 2" xfId="15707" xr:uid="{8DE881A0-52E0-464D-A737-0D8746F8E4E9}"/>
    <cellStyle name="Normal 4 2 2 5 6 4" xfId="11490" xr:uid="{05052FD9-5D45-4B66-9C24-D817E02DBE10}"/>
    <cellStyle name="Normal 4 2 2 5 7" xfId="2511" xr:uid="{00000000-0005-0000-0000-000007130000}"/>
    <cellStyle name="Normal 4 2 2 5 7 2" xfId="6794" xr:uid="{00000000-0005-0000-0000-000008130000}"/>
    <cellStyle name="Normal 4 2 2 5 7 2 2" xfId="16120" xr:uid="{98ADF6A1-C79D-44C0-83FD-485895596159}"/>
    <cellStyle name="Normal 4 2 2 5 7 3" xfId="11903" xr:uid="{D91409FC-852B-4E0B-8AB1-BBFF0029167F}"/>
    <cellStyle name="Normal 4 2 2 5 8" xfId="4729" xr:uid="{00000000-0005-0000-0000-000009130000}"/>
    <cellStyle name="Normal 4 2 2 5 8 2" xfId="14055" xr:uid="{8368FEF3-83C7-4C56-BCD7-EB4F15FC6C64}"/>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7F01D36A-C44E-4E43-AB8E-7BE548419533}"/>
    <cellStyle name="Normal 4 2 2 6 2 2 3" xfId="12398" xr:uid="{6CB513AA-CBC8-4AEB-955B-197BB2EDF695}"/>
    <cellStyle name="Normal 4 2 2 6 2 3" xfId="5144" xr:uid="{00000000-0005-0000-0000-00000E130000}"/>
    <cellStyle name="Normal 4 2 2 6 2 3 2" xfId="14470" xr:uid="{1050E697-C606-4AE5-8A25-F5F0F036D0E3}"/>
    <cellStyle name="Normal 4 2 2 6 2 4" xfId="9396" xr:uid="{5B10E6C6-987A-4149-BB81-321A07C7666F}"/>
    <cellStyle name="Normal 4 2 2 6 2 5" xfId="10253" xr:uid="{80EC8635-057C-4C38-BB4C-260FABBE1299}"/>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92319250-D9CF-4C63-9068-0F3BA19AAD9D}"/>
    <cellStyle name="Normal 4 2 2 6 3 2 3" xfId="12811" xr:uid="{3C9D57B9-B966-4363-AFC6-A5FF86FB2F37}"/>
    <cellStyle name="Normal 4 2 2 6 3 3" xfId="5557" xr:uid="{00000000-0005-0000-0000-000012130000}"/>
    <cellStyle name="Normal 4 2 2 6 3 3 2" xfId="14883" xr:uid="{0070F453-1168-4207-B068-5B37CEB9886F}"/>
    <cellStyle name="Normal 4 2 2 6 3 4" xfId="10666" xr:uid="{1ED5BCA1-42BF-4F91-AC52-63441AB7AC26}"/>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95E312B5-75F2-4931-9DA3-A801BCFD59B9}"/>
    <cellStyle name="Normal 4 2 2 6 4 2 3" xfId="13224" xr:uid="{D9BF60CF-16F9-4B68-90CD-5594BD9E1CDC}"/>
    <cellStyle name="Normal 4 2 2 6 4 3" xfId="5970" xr:uid="{00000000-0005-0000-0000-000016130000}"/>
    <cellStyle name="Normal 4 2 2 6 4 3 2" xfId="15296" xr:uid="{16983B56-B73C-447C-9ACA-167AADE47F3D}"/>
    <cellStyle name="Normal 4 2 2 6 4 4" xfId="11079" xr:uid="{5DEE21E4-E8FA-415D-99F5-3B004B461CBD}"/>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8A833F06-C845-47FD-BFEF-15AFB404EDCA}"/>
    <cellStyle name="Normal 4 2 2 6 5 2 3" xfId="13637" xr:uid="{17CF4765-A9C9-43E7-A863-19F223A9250C}"/>
    <cellStyle name="Normal 4 2 2 6 5 3" xfId="6383" xr:uid="{00000000-0005-0000-0000-00001A130000}"/>
    <cellStyle name="Normal 4 2 2 6 5 3 2" xfId="15709" xr:uid="{19E992B5-E615-41F5-85D8-8B9D7778AA32}"/>
    <cellStyle name="Normal 4 2 2 6 5 4" xfId="11492" xr:uid="{3B186684-5B7B-4726-9B8F-3FA68375956C}"/>
    <cellStyle name="Normal 4 2 2 6 6" xfId="2513" xr:uid="{00000000-0005-0000-0000-00001B130000}"/>
    <cellStyle name="Normal 4 2 2 6 6 2" xfId="6796" xr:uid="{00000000-0005-0000-0000-00001C130000}"/>
    <cellStyle name="Normal 4 2 2 6 6 2 2" xfId="16122" xr:uid="{3D773370-3E51-4F64-8BBA-86320BECDCB4}"/>
    <cellStyle name="Normal 4 2 2 6 6 3" xfId="11905" xr:uid="{1FB074DB-A04B-4BAB-8C04-6A63AD46F710}"/>
    <cellStyle name="Normal 4 2 2 6 7" xfId="4731" xr:uid="{00000000-0005-0000-0000-00001D130000}"/>
    <cellStyle name="Normal 4 2 2 6 7 2" xfId="14057" xr:uid="{40FD872D-EAB8-4E5C-9929-0209067B30C7}"/>
    <cellStyle name="Normal 4 2 2 6 8" xfId="8971" xr:uid="{7BBA3CD4-2D32-439A-A2D5-9F7EB5E5A47E}"/>
    <cellStyle name="Normal 4 2 2 6 9" xfId="9840" xr:uid="{976CDF6B-2681-4D9D-B84E-5214D7B98353}"/>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820C71FB-0D55-45F2-94CD-0451897732C4}"/>
    <cellStyle name="Normal 4 2 2 7 2 3" xfId="12383" xr:uid="{62A575BA-A8C1-495F-99E7-832A335DC0EE}"/>
    <cellStyle name="Normal 4 2 2 7 3" xfId="5129" xr:uid="{00000000-0005-0000-0000-000021130000}"/>
    <cellStyle name="Normal 4 2 2 7 3 2" xfId="14455" xr:uid="{56F2F323-88C7-41CA-B153-E11594C26EA5}"/>
    <cellStyle name="Normal 4 2 2 7 4" xfId="9174" xr:uid="{5FB177AF-8B2E-4B7E-A1B7-4F6E323AF880}"/>
    <cellStyle name="Normal 4 2 2 7 5" xfId="10238" xr:uid="{FF4EEA8B-6C6F-46C3-B9B9-1A67E546AFC0}"/>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8B9D207A-8F94-4766-A220-1CA24B70972E}"/>
    <cellStyle name="Normal 4 2 2 8 2 3" xfId="12796" xr:uid="{3BE416EE-AD28-45E4-B6EB-DA53BF1DFAAD}"/>
    <cellStyle name="Normal 4 2 2 8 3" xfId="5542" xr:uid="{00000000-0005-0000-0000-000025130000}"/>
    <cellStyle name="Normal 4 2 2 8 3 2" xfId="14868" xr:uid="{61113C0F-714B-4319-96CF-244AAC268858}"/>
    <cellStyle name="Normal 4 2 2 8 4" xfId="10651" xr:uid="{E6E3DDB5-58D7-4BB3-8F69-19522C8D38A4}"/>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9BE1B2FF-815E-4F1D-BCE3-C76D128B9F71}"/>
    <cellStyle name="Normal 4 2 2 9 2 3" xfId="13209" xr:uid="{9BDC5626-95E5-409F-90F5-D61FCEC75A1A}"/>
    <cellStyle name="Normal 4 2 2 9 3" xfId="5955" xr:uid="{00000000-0005-0000-0000-000029130000}"/>
    <cellStyle name="Normal 4 2 2 9 3 2" xfId="15281" xr:uid="{CE8AD225-2B7E-4214-AA0B-68B1CAF84614}"/>
    <cellStyle name="Normal 4 2 2 9 4" xfId="11064" xr:uid="{DA3E2750-5110-443F-9501-7DF982ECD251}"/>
    <cellStyle name="Normal 4 2 3" xfId="354" xr:uid="{00000000-0005-0000-0000-00002A130000}"/>
    <cellStyle name="Normal 4 2 4" xfId="355" xr:uid="{00000000-0005-0000-0000-00002B130000}"/>
    <cellStyle name="Normal 4 2 4 10" xfId="4732" xr:uid="{00000000-0005-0000-0000-00002C130000}"/>
    <cellStyle name="Normal 4 2 4 10 2" xfId="14058" xr:uid="{ECF7CB06-6829-4521-94F3-9DE2DD089114}"/>
    <cellStyle name="Normal 4 2 4 11" xfId="8775" xr:uid="{7AC259AB-9C32-4DC1-A787-2E2187A7C2D6}"/>
    <cellStyle name="Normal 4 2 4 12" xfId="9841" xr:uid="{D116B424-A458-4B97-AD8D-6525A077BE2E}"/>
    <cellStyle name="Normal 4 2 4 2" xfId="356" xr:uid="{00000000-0005-0000-0000-00002D130000}"/>
    <cellStyle name="Normal 4 2 4 2 10" xfId="8820" xr:uid="{8B50D4F4-4786-467C-8322-69D665B73C2B}"/>
    <cellStyle name="Normal 4 2 4 2 11" xfId="9842" xr:uid="{B8D62271-3657-4655-A9DE-69160B53EFDD}"/>
    <cellStyle name="Normal 4 2 4 2 2" xfId="357" xr:uid="{00000000-0005-0000-0000-00002E130000}"/>
    <cellStyle name="Normal 4 2 4 2 2 10" xfId="9843" xr:uid="{8D19A29B-7D23-4436-92D3-E6B1062F35EC}"/>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B28DAA19-94F1-42C1-BD43-CC15A3FFBA9E}"/>
    <cellStyle name="Normal 4 2 4 2 2 2 2 2 3" xfId="12402" xr:uid="{3443FD37-11EF-4D41-B0B4-F72CC158AAB6}"/>
    <cellStyle name="Normal 4 2 4 2 2 2 2 3" xfId="5148" xr:uid="{00000000-0005-0000-0000-000033130000}"/>
    <cellStyle name="Normal 4 2 4 2 2 2 2 3 2" xfId="14474" xr:uid="{76662F79-DA3B-49A1-9337-B7E5AA350B12}"/>
    <cellStyle name="Normal 4 2 4 2 2 2 2 4" xfId="9555" xr:uid="{31AE7BD4-4F26-4658-9939-15FCE733560E}"/>
    <cellStyle name="Normal 4 2 4 2 2 2 2 5" xfId="10257" xr:uid="{7B979039-4700-41C5-873D-D8693F5F8257}"/>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4CFE310B-7339-4CAE-BB55-6D24C2EDCE61}"/>
    <cellStyle name="Normal 4 2 4 2 2 2 3 2 3" xfId="12815" xr:uid="{B17CE0AB-8168-4D62-B992-42EFFA211178}"/>
    <cellStyle name="Normal 4 2 4 2 2 2 3 3" xfId="5561" xr:uid="{00000000-0005-0000-0000-000037130000}"/>
    <cellStyle name="Normal 4 2 4 2 2 2 3 3 2" xfId="14887" xr:uid="{136F33D8-419B-412F-AA9F-5F796C45BE1D}"/>
    <cellStyle name="Normal 4 2 4 2 2 2 3 4" xfId="10670" xr:uid="{97BA3F38-AF5C-4AE7-A846-61FCD258D51E}"/>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988EA738-6C80-474B-8F56-A4BF974E55D7}"/>
    <cellStyle name="Normal 4 2 4 2 2 2 4 2 3" xfId="13228" xr:uid="{41C749EE-331F-487C-8A26-03E31D550E0E}"/>
    <cellStyle name="Normal 4 2 4 2 2 2 4 3" xfId="5974" xr:uid="{00000000-0005-0000-0000-00003B130000}"/>
    <cellStyle name="Normal 4 2 4 2 2 2 4 3 2" xfId="15300" xr:uid="{77148AA6-0265-4BD1-82EB-B635AAC25BDF}"/>
    <cellStyle name="Normal 4 2 4 2 2 2 4 4" xfId="11083" xr:uid="{030AFA8E-7BD7-43F9-BF86-B03D75C7DCC1}"/>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39F642A3-6388-4D88-B2EF-366D99A93F8F}"/>
    <cellStyle name="Normal 4 2 4 2 2 2 5 2 3" xfId="13641" xr:uid="{33A3CC9F-07E3-4D44-A360-2B8A68215BEE}"/>
    <cellStyle name="Normal 4 2 4 2 2 2 5 3" xfId="6387" xr:uid="{00000000-0005-0000-0000-00003F130000}"/>
    <cellStyle name="Normal 4 2 4 2 2 2 5 3 2" xfId="15713" xr:uid="{EE54215F-2E21-4C66-9282-F806B42F382F}"/>
    <cellStyle name="Normal 4 2 4 2 2 2 5 4" xfId="11496" xr:uid="{51E7DFE1-0D7E-4D6C-BA9E-04C05821878C}"/>
    <cellStyle name="Normal 4 2 4 2 2 2 6" xfId="2517" xr:uid="{00000000-0005-0000-0000-000040130000}"/>
    <cellStyle name="Normal 4 2 4 2 2 2 6 2" xfId="6800" xr:uid="{00000000-0005-0000-0000-000041130000}"/>
    <cellStyle name="Normal 4 2 4 2 2 2 6 2 2" xfId="16126" xr:uid="{659097F7-B8E1-4D5F-9D70-F4AE3CBB52D8}"/>
    <cellStyle name="Normal 4 2 4 2 2 2 6 3" xfId="11909" xr:uid="{20AF9D05-164F-4099-8C3C-C4532171D56C}"/>
    <cellStyle name="Normal 4 2 4 2 2 2 7" xfId="4735" xr:uid="{00000000-0005-0000-0000-000042130000}"/>
    <cellStyle name="Normal 4 2 4 2 2 2 7 2" xfId="14061" xr:uid="{D9F01E87-F0B2-47DE-846E-BF838A86B990}"/>
    <cellStyle name="Normal 4 2 4 2 2 2 8" xfId="9130" xr:uid="{E4AAEB37-D6CE-4BD9-A166-BE52F754DAC4}"/>
    <cellStyle name="Normal 4 2 4 2 2 2 9" xfId="9844" xr:uid="{072CBD34-E148-48A8-B2A7-548943009D3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B3F21851-5FDE-4EE2-A4A7-D3CDE38CAFDE}"/>
    <cellStyle name="Normal 4 2 4 2 2 3 2 3" xfId="12401" xr:uid="{A0920D52-C134-4CFB-B708-6142F4D6EE6F}"/>
    <cellStyle name="Normal 4 2 4 2 2 3 3" xfId="5147" xr:uid="{00000000-0005-0000-0000-000046130000}"/>
    <cellStyle name="Normal 4 2 4 2 2 3 3 2" xfId="14473" xr:uid="{B6ABDDCE-EF5B-4F89-A647-17AC2277C63F}"/>
    <cellStyle name="Normal 4 2 4 2 2 3 4" xfId="9348" xr:uid="{E9E52CF6-B3CF-482F-B496-A22B0452951D}"/>
    <cellStyle name="Normal 4 2 4 2 2 3 5" xfId="10256" xr:uid="{FB4BEFA3-43AF-4111-908A-083CC780FED6}"/>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44046671-4838-4F0E-A3A5-865A4AB26038}"/>
    <cellStyle name="Normal 4 2 4 2 2 4 2 3" xfId="12814" xr:uid="{2E7F32E0-E08E-4209-92F4-907F80991AB1}"/>
    <cellStyle name="Normal 4 2 4 2 2 4 3" xfId="5560" xr:uid="{00000000-0005-0000-0000-00004A130000}"/>
    <cellStyle name="Normal 4 2 4 2 2 4 3 2" xfId="14886" xr:uid="{C907B10A-B03A-4174-92E0-25CFEA1FC988}"/>
    <cellStyle name="Normal 4 2 4 2 2 4 4" xfId="10669" xr:uid="{BC15B5C1-3ED7-4087-8A82-5DE6B50DCA45}"/>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C9BB8A73-0BAA-42CC-AB02-B7DE03FC0BB0}"/>
    <cellStyle name="Normal 4 2 4 2 2 5 2 3" xfId="13227" xr:uid="{A8943DB6-B509-43D8-9894-EB947F6B8D1A}"/>
    <cellStyle name="Normal 4 2 4 2 2 5 3" xfId="5973" xr:uid="{00000000-0005-0000-0000-00004E130000}"/>
    <cellStyle name="Normal 4 2 4 2 2 5 3 2" xfId="15299" xr:uid="{9F3C8CAC-5084-46C7-807E-3DA75DCD98BF}"/>
    <cellStyle name="Normal 4 2 4 2 2 5 4" xfId="11082" xr:uid="{31414D21-925E-4F91-9E21-399B0C5C135B}"/>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8DD5F7C4-20DB-48EC-A7B6-44ED6E7B75A0}"/>
    <cellStyle name="Normal 4 2 4 2 2 6 2 3" xfId="13640" xr:uid="{63F2A3A7-99A4-4CFD-8A14-5DB0BBD72468}"/>
    <cellStyle name="Normal 4 2 4 2 2 6 3" xfId="6386" xr:uid="{00000000-0005-0000-0000-000052130000}"/>
    <cellStyle name="Normal 4 2 4 2 2 6 3 2" xfId="15712" xr:uid="{74DEB2AF-4A64-454A-ACC1-1F792DE918E5}"/>
    <cellStyle name="Normal 4 2 4 2 2 6 4" xfId="11495" xr:uid="{88BD8271-01F9-46C5-B169-1369B042037A}"/>
    <cellStyle name="Normal 4 2 4 2 2 7" xfId="2516" xr:uid="{00000000-0005-0000-0000-000053130000}"/>
    <cellStyle name="Normal 4 2 4 2 2 7 2" xfId="6799" xr:uid="{00000000-0005-0000-0000-000054130000}"/>
    <cellStyle name="Normal 4 2 4 2 2 7 2 2" xfId="16125" xr:uid="{1D512351-0A0A-4361-AC9C-74C0D33713C0}"/>
    <cellStyle name="Normal 4 2 4 2 2 7 3" xfId="11908" xr:uid="{28B20E36-A969-4939-BB35-7F7AB9843162}"/>
    <cellStyle name="Normal 4 2 4 2 2 8" xfId="4734" xr:uid="{00000000-0005-0000-0000-000055130000}"/>
    <cellStyle name="Normal 4 2 4 2 2 8 2" xfId="14060" xr:uid="{8FC17B1B-0577-47C4-9923-08713EC471CA}"/>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BD2293F0-540F-4248-9C8F-C18A198CE8AC}"/>
    <cellStyle name="Normal 4 2 4 2 3 2 2 3" xfId="12403" xr:uid="{B0527235-7EB5-4500-B9CC-9F41ED5B694B}"/>
    <cellStyle name="Normal 4 2 4 2 3 2 3" xfId="5149" xr:uid="{00000000-0005-0000-0000-00005A130000}"/>
    <cellStyle name="Normal 4 2 4 2 3 2 3 2" xfId="14475" xr:uid="{4AED8D80-EF44-4F4E-9D52-6DDC3499DDAB}"/>
    <cellStyle name="Normal 4 2 4 2 3 2 4" xfId="9452" xr:uid="{58F46659-8F00-4705-8554-54AEBE9B8A77}"/>
    <cellStyle name="Normal 4 2 4 2 3 2 5" xfId="10258" xr:uid="{F25C5CAB-6389-4092-859B-FAB0B2318A64}"/>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96DDD875-2678-4C07-9125-1FA3C4F2F1DF}"/>
    <cellStyle name="Normal 4 2 4 2 3 3 2 3" xfId="12816" xr:uid="{3C421F82-CF96-417C-A8BB-07BAE622D259}"/>
    <cellStyle name="Normal 4 2 4 2 3 3 3" xfId="5562" xr:uid="{00000000-0005-0000-0000-00005E130000}"/>
    <cellStyle name="Normal 4 2 4 2 3 3 3 2" xfId="14888" xr:uid="{8ECEF2D6-0454-455D-832D-C7D16398A16D}"/>
    <cellStyle name="Normal 4 2 4 2 3 3 4" xfId="10671" xr:uid="{D49337D0-194B-49B6-AC43-61F70602B57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F282E67B-334D-40D9-AB78-10A8B7C8E13D}"/>
    <cellStyle name="Normal 4 2 4 2 3 4 2 3" xfId="13229" xr:uid="{D86FF030-661E-4248-82E7-788C57D9EBEF}"/>
    <cellStyle name="Normal 4 2 4 2 3 4 3" xfId="5975" xr:uid="{00000000-0005-0000-0000-000062130000}"/>
    <cellStyle name="Normal 4 2 4 2 3 4 3 2" xfId="15301" xr:uid="{C5FEAEBE-6D6B-4557-8669-DF4133DA8A73}"/>
    <cellStyle name="Normal 4 2 4 2 3 4 4" xfId="11084" xr:uid="{080E301E-56EF-4DC3-9325-63C592300783}"/>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6307730F-628B-4EC2-A98A-CFE6D2F95654}"/>
    <cellStyle name="Normal 4 2 4 2 3 5 2 3" xfId="13642" xr:uid="{B6DC71A0-9F6F-433B-84B8-7E5C488FD4D0}"/>
    <cellStyle name="Normal 4 2 4 2 3 5 3" xfId="6388" xr:uid="{00000000-0005-0000-0000-000066130000}"/>
    <cellStyle name="Normal 4 2 4 2 3 5 3 2" xfId="15714" xr:uid="{B41F7913-97C6-484D-BCB8-B37475A92CB1}"/>
    <cellStyle name="Normal 4 2 4 2 3 5 4" xfId="11497" xr:uid="{B650BBF5-09E3-4516-85B6-545EC83975B6}"/>
    <cellStyle name="Normal 4 2 4 2 3 6" xfId="2518" xr:uid="{00000000-0005-0000-0000-000067130000}"/>
    <cellStyle name="Normal 4 2 4 2 3 6 2" xfId="6801" xr:uid="{00000000-0005-0000-0000-000068130000}"/>
    <cellStyle name="Normal 4 2 4 2 3 6 2 2" xfId="16127" xr:uid="{192AA21F-B227-45CA-9400-DA66B37179D1}"/>
    <cellStyle name="Normal 4 2 4 2 3 6 3" xfId="11910" xr:uid="{8F2D56D3-194E-4919-BF10-7EC736F366BA}"/>
    <cellStyle name="Normal 4 2 4 2 3 7" xfId="4736" xr:uid="{00000000-0005-0000-0000-000069130000}"/>
    <cellStyle name="Normal 4 2 4 2 3 7 2" xfId="14062" xr:uid="{A6CC2E94-021C-4BA4-97B9-F544D0B33299}"/>
    <cellStyle name="Normal 4 2 4 2 3 8" xfId="9027" xr:uid="{DA430019-E492-48BB-ACD5-5BE853C50FBC}"/>
    <cellStyle name="Normal 4 2 4 2 3 9" xfId="9845" xr:uid="{D2C0A1D6-DBF6-46AF-A1DD-FDE831B60E5F}"/>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0B711499-4843-4D85-B0AF-C857E748941C}"/>
    <cellStyle name="Normal 4 2 4 2 4 2 3" xfId="12400" xr:uid="{242FE6EC-D084-4040-B538-7214039043EF}"/>
    <cellStyle name="Normal 4 2 4 2 4 3" xfId="5146" xr:uid="{00000000-0005-0000-0000-00006D130000}"/>
    <cellStyle name="Normal 4 2 4 2 4 3 2" xfId="14472" xr:uid="{2FB0B5CA-38C9-48CA-8E2E-BAB699071100}"/>
    <cellStyle name="Normal 4 2 4 2 4 4" xfId="9245" xr:uid="{A0383DD8-843E-4601-922A-5CDD979D0589}"/>
    <cellStyle name="Normal 4 2 4 2 4 5" xfId="10255" xr:uid="{4CC5DEF6-F816-489F-A789-73051A243D21}"/>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9F64636E-3286-48C1-8D25-304A3B361146}"/>
    <cellStyle name="Normal 4 2 4 2 5 2 3" xfId="12813" xr:uid="{4EF9A810-BF6D-404A-B7AA-311DAA0DB86C}"/>
    <cellStyle name="Normal 4 2 4 2 5 3" xfId="5559" xr:uid="{00000000-0005-0000-0000-000071130000}"/>
    <cellStyle name="Normal 4 2 4 2 5 3 2" xfId="14885" xr:uid="{05A4E4AB-071D-4EAF-BFBE-777A74DFB0D2}"/>
    <cellStyle name="Normal 4 2 4 2 5 4" xfId="10668" xr:uid="{940377AC-C2E1-4349-9446-19E6625B0503}"/>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7FED3CB4-0065-4890-BE90-DBAC0D561FC0}"/>
    <cellStyle name="Normal 4 2 4 2 6 2 3" xfId="13226" xr:uid="{211C434D-8EDF-4AEA-83A1-4CCDD5D0CB54}"/>
    <cellStyle name="Normal 4 2 4 2 6 3" xfId="5972" xr:uid="{00000000-0005-0000-0000-000075130000}"/>
    <cellStyle name="Normal 4 2 4 2 6 3 2" xfId="15298" xr:uid="{E900DA89-9577-430C-8D4E-5B7A4308218A}"/>
    <cellStyle name="Normal 4 2 4 2 6 4" xfId="11081" xr:uid="{31F0AE4F-2896-47BB-B04E-D5239AB756C4}"/>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F4F03B28-281C-4D88-805A-54D08F74883E}"/>
    <cellStyle name="Normal 4 2 4 2 7 2 3" xfId="13639" xr:uid="{D763A888-E874-4440-A097-8E6785538142}"/>
    <cellStyle name="Normal 4 2 4 2 7 3" xfId="6385" xr:uid="{00000000-0005-0000-0000-000079130000}"/>
    <cellStyle name="Normal 4 2 4 2 7 3 2" xfId="15711" xr:uid="{29DB88B2-FF25-4BA7-94C3-D484956802D8}"/>
    <cellStyle name="Normal 4 2 4 2 7 4" xfId="11494" xr:uid="{AE01FE42-A197-43A5-8F5C-0161EDC5B44B}"/>
    <cellStyle name="Normal 4 2 4 2 8" xfId="2515" xr:uid="{00000000-0005-0000-0000-00007A130000}"/>
    <cellStyle name="Normal 4 2 4 2 8 2" xfId="6798" xr:uid="{00000000-0005-0000-0000-00007B130000}"/>
    <cellStyle name="Normal 4 2 4 2 8 2 2" xfId="16124" xr:uid="{27ED3D6C-79FF-42CB-9E33-7D2D63ED81DA}"/>
    <cellStyle name="Normal 4 2 4 2 8 3" xfId="11907" xr:uid="{5F5F6F43-0EFC-42B8-B1C2-9FBEDF455B99}"/>
    <cellStyle name="Normal 4 2 4 2 9" xfId="4733" xr:uid="{00000000-0005-0000-0000-00007C130000}"/>
    <cellStyle name="Normal 4 2 4 2 9 2" xfId="14059" xr:uid="{F7388F92-0E87-4B1D-A719-FF29C2978B9E}"/>
    <cellStyle name="Normal 4 2 4 3" xfId="360" xr:uid="{00000000-0005-0000-0000-00007D130000}"/>
    <cellStyle name="Normal 4 2 4 3 10" xfId="9846" xr:uid="{1E01C2D8-EF20-4F14-ABB6-BFE7A35EBB13}"/>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D37D4C65-0DF1-42C2-9D5A-068E62CF43DB}"/>
    <cellStyle name="Normal 4 2 4 3 2 2 2 3" xfId="12405" xr:uid="{E0687D18-37AB-45D4-B9C5-44F897F96BEF}"/>
    <cellStyle name="Normal 4 2 4 3 2 2 3" xfId="5151" xr:uid="{00000000-0005-0000-0000-000082130000}"/>
    <cellStyle name="Normal 4 2 4 3 2 2 3 2" xfId="14477" xr:uid="{6185A1D1-7E3E-4AAC-880E-378B31A9668C}"/>
    <cellStyle name="Normal 4 2 4 3 2 2 4" xfId="9510" xr:uid="{AA534F18-B7F5-44D9-AE7D-03E6DE45E4F9}"/>
    <cellStyle name="Normal 4 2 4 3 2 2 5" xfId="10260" xr:uid="{B192BBFA-D6B7-49AA-AECB-73B22199D101}"/>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24CB4F2D-7DF9-4CF2-913A-3140C75261C4}"/>
    <cellStyle name="Normal 4 2 4 3 2 3 2 3" xfId="12818" xr:uid="{3FD94B23-F070-48D6-992E-8F8ED203F118}"/>
    <cellStyle name="Normal 4 2 4 3 2 3 3" xfId="5564" xr:uid="{00000000-0005-0000-0000-000086130000}"/>
    <cellStyle name="Normal 4 2 4 3 2 3 3 2" xfId="14890" xr:uid="{D4B7F157-CBE1-4736-81D3-CB2AF5F94D75}"/>
    <cellStyle name="Normal 4 2 4 3 2 3 4" xfId="10673" xr:uid="{3FCD0CFD-53C4-45A7-9836-C09EAAB81A6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BBC7FBC5-8F9C-4E94-B3D6-8794E84AD402}"/>
    <cellStyle name="Normal 4 2 4 3 2 4 2 3" xfId="13231" xr:uid="{FD669777-F417-4257-A16C-ABC7359CABF5}"/>
    <cellStyle name="Normal 4 2 4 3 2 4 3" xfId="5977" xr:uid="{00000000-0005-0000-0000-00008A130000}"/>
    <cellStyle name="Normal 4 2 4 3 2 4 3 2" xfId="15303" xr:uid="{71DD0CC0-0722-4D51-B684-074E23D1D86A}"/>
    <cellStyle name="Normal 4 2 4 3 2 4 4" xfId="11086" xr:uid="{FF2666E5-A5A2-4B32-9F72-56B62A74F071}"/>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FF3B99B5-0061-45AD-A605-30D7FE2A6D3E}"/>
    <cellStyle name="Normal 4 2 4 3 2 5 2 3" xfId="13644" xr:uid="{D495316A-6822-45E8-B50E-50FF1CFECD97}"/>
    <cellStyle name="Normal 4 2 4 3 2 5 3" xfId="6390" xr:uid="{00000000-0005-0000-0000-00008E130000}"/>
    <cellStyle name="Normal 4 2 4 3 2 5 3 2" xfId="15716" xr:uid="{66A2C5F6-8AA9-4258-9B81-1AA1A11F25A6}"/>
    <cellStyle name="Normal 4 2 4 3 2 5 4" xfId="11499" xr:uid="{0C7D044B-6E24-4E43-B090-26EFAAD4A32D}"/>
    <cellStyle name="Normal 4 2 4 3 2 6" xfId="2520" xr:uid="{00000000-0005-0000-0000-00008F130000}"/>
    <cellStyle name="Normal 4 2 4 3 2 6 2" xfId="6803" xr:uid="{00000000-0005-0000-0000-000090130000}"/>
    <cellStyle name="Normal 4 2 4 3 2 6 2 2" xfId="16129" xr:uid="{5111A271-2FF0-4EC4-9715-61D63A2005B5}"/>
    <cellStyle name="Normal 4 2 4 3 2 6 3" xfId="11912" xr:uid="{BE3118BB-7B64-4F0F-BCDE-249E0D95B745}"/>
    <cellStyle name="Normal 4 2 4 3 2 7" xfId="4738" xr:uid="{00000000-0005-0000-0000-000091130000}"/>
    <cellStyle name="Normal 4 2 4 3 2 7 2" xfId="14064" xr:uid="{7702DFE5-9958-46C0-ACDA-0A3437383E45}"/>
    <cellStyle name="Normal 4 2 4 3 2 8" xfId="9085" xr:uid="{0181E53C-86DC-4588-8447-D559FCF01541}"/>
    <cellStyle name="Normal 4 2 4 3 2 9" xfId="9847" xr:uid="{E2551CF8-9B86-403C-9196-8BCE9BA321E7}"/>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BA3090B6-1F36-4304-BFAB-3522A79083AF}"/>
    <cellStyle name="Normal 4 2 4 3 3 2 3" xfId="12404" xr:uid="{54BA527B-2169-489E-B502-FCAB60ECEA03}"/>
    <cellStyle name="Normal 4 2 4 3 3 3" xfId="5150" xr:uid="{00000000-0005-0000-0000-000095130000}"/>
    <cellStyle name="Normal 4 2 4 3 3 3 2" xfId="14476" xr:uid="{09EBCD60-D449-4530-A72E-17A4F3348BF6}"/>
    <cellStyle name="Normal 4 2 4 3 3 4" xfId="9303" xr:uid="{51CE977A-E9B9-47DD-B6CE-3ECF34A578F1}"/>
    <cellStyle name="Normal 4 2 4 3 3 5" xfId="10259" xr:uid="{3B57477D-B48E-4675-9211-5A876D7AD32F}"/>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0B32B9F3-855C-4F74-AB99-5F5F64EB1B5D}"/>
    <cellStyle name="Normal 4 2 4 3 4 2 3" xfId="12817" xr:uid="{24FAD256-86B0-4191-890C-2F1963ED5BF7}"/>
    <cellStyle name="Normal 4 2 4 3 4 3" xfId="5563" xr:uid="{00000000-0005-0000-0000-000099130000}"/>
    <cellStyle name="Normal 4 2 4 3 4 3 2" xfId="14889" xr:uid="{21155D64-AE8E-4B98-8ACE-77BE5A067AC2}"/>
    <cellStyle name="Normal 4 2 4 3 4 4" xfId="10672" xr:uid="{26FCA703-C080-45CF-958F-18607B53BC77}"/>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69EE5E73-5059-41A9-8959-A29EB1C3ABEC}"/>
    <cellStyle name="Normal 4 2 4 3 5 2 3" xfId="13230" xr:uid="{46A1077A-D204-4636-A3FB-3AA6F925FE0E}"/>
    <cellStyle name="Normal 4 2 4 3 5 3" xfId="5976" xr:uid="{00000000-0005-0000-0000-00009D130000}"/>
    <cellStyle name="Normal 4 2 4 3 5 3 2" xfId="15302" xr:uid="{F469581A-9971-4E54-9DF1-D0FF56826D75}"/>
    <cellStyle name="Normal 4 2 4 3 5 4" xfId="11085" xr:uid="{831483C7-6917-4CB8-80B5-C052F6FFED3E}"/>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3FDC1A93-8E04-4F37-A2C1-56B9B7B9F291}"/>
    <cellStyle name="Normal 4 2 4 3 6 2 3" xfId="13643" xr:uid="{B569FDC2-BB94-4C79-84A5-3BCE9367556D}"/>
    <cellStyle name="Normal 4 2 4 3 6 3" xfId="6389" xr:uid="{00000000-0005-0000-0000-0000A1130000}"/>
    <cellStyle name="Normal 4 2 4 3 6 3 2" xfId="15715" xr:uid="{76660917-8CF1-4BB7-974D-3E13528F0D12}"/>
    <cellStyle name="Normal 4 2 4 3 6 4" xfId="11498" xr:uid="{71D8B4EC-20DC-40A0-8AEB-E7B94184327C}"/>
    <cellStyle name="Normal 4 2 4 3 7" xfId="2519" xr:uid="{00000000-0005-0000-0000-0000A2130000}"/>
    <cellStyle name="Normal 4 2 4 3 7 2" xfId="6802" xr:uid="{00000000-0005-0000-0000-0000A3130000}"/>
    <cellStyle name="Normal 4 2 4 3 7 2 2" xfId="16128" xr:uid="{9C0A99E7-DA23-41D2-B4FA-8FD5CEA287D8}"/>
    <cellStyle name="Normal 4 2 4 3 7 3" xfId="11911" xr:uid="{D8504B9F-59B3-44A2-A6A8-34CFE1BBDF30}"/>
    <cellStyle name="Normal 4 2 4 3 8" xfId="4737" xr:uid="{00000000-0005-0000-0000-0000A4130000}"/>
    <cellStyle name="Normal 4 2 4 3 8 2" xfId="14063" xr:uid="{C972F785-95BF-4436-A979-8F9F6971A44D}"/>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95F8ACCB-537F-4535-BD1A-3BDD4249678D}"/>
    <cellStyle name="Normal 4 2 4 4 2 2 3" xfId="12406" xr:uid="{FC690EB3-149F-495D-BA56-149D3DE8FF34}"/>
    <cellStyle name="Normal 4 2 4 4 2 3" xfId="5152" xr:uid="{00000000-0005-0000-0000-0000A9130000}"/>
    <cellStyle name="Normal 4 2 4 4 2 3 2" xfId="14478" xr:uid="{0694444C-7ED4-4AE5-8911-BD09668AC26F}"/>
    <cellStyle name="Normal 4 2 4 4 2 4" xfId="9407" xr:uid="{5D8D6A7A-388E-41EC-80E9-28307FA015D6}"/>
    <cellStyle name="Normal 4 2 4 4 2 5" xfId="10261" xr:uid="{00895275-F590-4C80-A628-A843A52D676C}"/>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860DF33D-AB93-4CC9-9A4A-9C112EC8E167}"/>
    <cellStyle name="Normal 4 2 4 4 3 2 3" xfId="12819" xr:uid="{98598A84-FD87-4020-AA40-C1BC10C3E968}"/>
    <cellStyle name="Normal 4 2 4 4 3 3" xfId="5565" xr:uid="{00000000-0005-0000-0000-0000AD130000}"/>
    <cellStyle name="Normal 4 2 4 4 3 3 2" xfId="14891" xr:uid="{E5D40D24-F027-4D54-8AAE-5D88637749FD}"/>
    <cellStyle name="Normal 4 2 4 4 3 4" xfId="10674" xr:uid="{552D39EA-2A36-4FC3-B5ED-6BEEDC3CB224}"/>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A75E7516-9C05-4E1E-8CB8-72BD52FC405B}"/>
    <cellStyle name="Normal 4 2 4 4 4 2 3" xfId="13232" xr:uid="{00E173D8-D167-431E-8F4A-527DB5369F19}"/>
    <cellStyle name="Normal 4 2 4 4 4 3" xfId="5978" xr:uid="{00000000-0005-0000-0000-0000B1130000}"/>
    <cellStyle name="Normal 4 2 4 4 4 3 2" xfId="15304" xr:uid="{590D8B2B-C96D-4BE4-9692-84E75B5C04B9}"/>
    <cellStyle name="Normal 4 2 4 4 4 4" xfId="11087" xr:uid="{901CB1B8-4C93-421A-99E9-CABCFE355E4E}"/>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1B238E5B-DC68-4A34-A22F-3A4074A5D395}"/>
    <cellStyle name="Normal 4 2 4 4 5 2 3" xfId="13645" xr:uid="{721E97A9-3E9C-4831-A9B0-8981424E431C}"/>
    <cellStyle name="Normal 4 2 4 4 5 3" xfId="6391" xr:uid="{00000000-0005-0000-0000-0000B5130000}"/>
    <cellStyle name="Normal 4 2 4 4 5 3 2" xfId="15717" xr:uid="{3BC3F653-C431-42ED-ACE4-8FDE984BBFFF}"/>
    <cellStyle name="Normal 4 2 4 4 5 4" xfId="11500" xr:uid="{14F57520-3332-4998-A43B-9B47CACA1E3B}"/>
    <cellStyle name="Normal 4 2 4 4 6" xfId="2521" xr:uid="{00000000-0005-0000-0000-0000B6130000}"/>
    <cellStyle name="Normal 4 2 4 4 6 2" xfId="6804" xr:uid="{00000000-0005-0000-0000-0000B7130000}"/>
    <cellStyle name="Normal 4 2 4 4 6 2 2" xfId="16130" xr:uid="{BAA7E726-7D87-496E-A0E0-39C833388467}"/>
    <cellStyle name="Normal 4 2 4 4 6 3" xfId="11913" xr:uid="{A2AE4A6A-56F9-466D-BF8F-80D1C18C113D}"/>
    <cellStyle name="Normal 4 2 4 4 7" xfId="4739" xr:uid="{00000000-0005-0000-0000-0000B8130000}"/>
    <cellStyle name="Normal 4 2 4 4 7 2" xfId="14065" xr:uid="{7B515356-BD9C-4CC5-B1B8-CB5467BE163C}"/>
    <cellStyle name="Normal 4 2 4 4 8" xfId="8982" xr:uid="{4C273C9B-E12E-4EF2-812F-666600229207}"/>
    <cellStyle name="Normal 4 2 4 4 9" xfId="9848" xr:uid="{8D026730-1A9C-4928-AA48-BB68B8472869}"/>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47903F2B-3940-4395-BB60-95569FB5F96B}"/>
    <cellStyle name="Normal 4 2 4 5 2 3" xfId="12399" xr:uid="{5A1E1E59-8F6C-49C3-9818-4D95CD6E9A6E}"/>
    <cellStyle name="Normal 4 2 4 5 3" xfId="5145" xr:uid="{00000000-0005-0000-0000-0000BC130000}"/>
    <cellStyle name="Normal 4 2 4 5 3 2" xfId="14471" xr:uid="{27669DB1-D60C-4022-B225-E6F650D26898}"/>
    <cellStyle name="Normal 4 2 4 5 4" xfId="9199" xr:uid="{1A9A2DC3-2FEA-4A30-A92C-84708E9B2741}"/>
    <cellStyle name="Normal 4 2 4 5 5" xfId="10254" xr:uid="{43384E21-C082-4280-B516-3C9C63E3F623}"/>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804DAF1B-3A3A-470C-9429-6F8BE2C5721E}"/>
    <cellStyle name="Normal 4 2 4 6 2 3" xfId="12812" xr:uid="{4DAC7712-C84F-4BDD-B567-DD7A4EF633DC}"/>
    <cellStyle name="Normal 4 2 4 6 3" xfId="5558" xr:uid="{00000000-0005-0000-0000-0000C0130000}"/>
    <cellStyle name="Normal 4 2 4 6 3 2" xfId="14884" xr:uid="{B4A4D256-8041-45FF-8BB9-1B854EEC9101}"/>
    <cellStyle name="Normal 4 2 4 6 4" xfId="10667" xr:uid="{93E21FDE-488A-479D-BB75-BD9B15A6D709}"/>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D1928E06-63D1-4D8F-B996-811AD7E1C287}"/>
    <cellStyle name="Normal 4 2 4 7 2 3" xfId="13225" xr:uid="{71D6A91D-8E5A-4549-BA48-5ECB78EDBDFE}"/>
    <cellStyle name="Normal 4 2 4 7 3" xfId="5971" xr:uid="{00000000-0005-0000-0000-0000C4130000}"/>
    <cellStyle name="Normal 4 2 4 7 3 2" xfId="15297" xr:uid="{C091E023-FBC3-4BC8-A3FB-9F2F583BE156}"/>
    <cellStyle name="Normal 4 2 4 7 4" xfId="11080" xr:uid="{A2910ED5-27FD-4083-B583-4FD96F928216}"/>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280F726C-B505-43A6-9F9B-032FA03181EB}"/>
    <cellStyle name="Normal 4 2 4 8 2 3" xfId="13638" xr:uid="{A5C9A454-BCA7-4F35-8E65-113629B1C625}"/>
    <cellStyle name="Normal 4 2 4 8 3" xfId="6384" xr:uid="{00000000-0005-0000-0000-0000C8130000}"/>
    <cellStyle name="Normal 4 2 4 8 3 2" xfId="15710" xr:uid="{313CBEDF-A2CE-4D45-9721-3B56B316AE12}"/>
    <cellStyle name="Normal 4 2 4 8 4" xfId="11493" xr:uid="{820AA960-80BF-40D4-93FF-D5246E1385A7}"/>
    <cellStyle name="Normal 4 2 4 9" xfId="2514" xr:uid="{00000000-0005-0000-0000-0000C9130000}"/>
    <cellStyle name="Normal 4 2 4 9 2" xfId="6797" xr:uid="{00000000-0005-0000-0000-0000CA130000}"/>
    <cellStyle name="Normal 4 2 4 9 2 2" xfId="16123" xr:uid="{B983A394-B851-4F23-BCAD-75308F41E68B}"/>
    <cellStyle name="Normal 4 2 4 9 3" xfId="11906" xr:uid="{836766AB-D6FE-4809-A7EE-5729542E4325}"/>
    <cellStyle name="Normal 4 2 5" xfId="363" xr:uid="{00000000-0005-0000-0000-0000CB130000}"/>
    <cellStyle name="Normal 4 2 5 10" xfId="9849" xr:uid="{6318E143-CE15-41E3-B50C-C01E9DC09081}"/>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C18DECAA-095B-4CC0-A2C2-304083758CE7}"/>
    <cellStyle name="Normal 4 2 5 2 2 2 3" xfId="12408" xr:uid="{7D01A7F1-A8C6-4EC9-8F4F-DEEFA8C9D984}"/>
    <cellStyle name="Normal 4 2 5 2 2 3" xfId="5154" xr:uid="{00000000-0005-0000-0000-0000D0130000}"/>
    <cellStyle name="Normal 4 2 5 2 2 3 2" xfId="14480" xr:uid="{0C9BE114-1E4E-492B-963A-6EC1DA2F6BEB}"/>
    <cellStyle name="Normal 4 2 5 2 2 4" xfId="9478" xr:uid="{9FEAEEC2-067D-4244-BB0F-0858128140EB}"/>
    <cellStyle name="Normal 4 2 5 2 2 5" xfId="10263" xr:uid="{DEE33CF5-477C-4458-8BB0-FFFFB9797565}"/>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DF56E9C9-F07F-48D2-ADC7-A7C78F82090E}"/>
    <cellStyle name="Normal 4 2 5 2 3 2 3" xfId="12821" xr:uid="{8D0B100E-91E6-4B87-BA0A-768928C985AF}"/>
    <cellStyle name="Normal 4 2 5 2 3 3" xfId="5567" xr:uid="{00000000-0005-0000-0000-0000D4130000}"/>
    <cellStyle name="Normal 4 2 5 2 3 3 2" xfId="14893" xr:uid="{66987D0F-A3F7-4ACB-B406-BA3A896D56D1}"/>
    <cellStyle name="Normal 4 2 5 2 3 4" xfId="10676" xr:uid="{4E93F712-0B80-4087-9085-090F53CCC0C3}"/>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74D00C33-EA9E-4753-B89B-6D0BA390DBAC}"/>
    <cellStyle name="Normal 4 2 5 2 4 2 3" xfId="13234" xr:uid="{47DBD9AB-6CA8-4B59-8855-32D75C9AE413}"/>
    <cellStyle name="Normal 4 2 5 2 4 3" xfId="5980" xr:uid="{00000000-0005-0000-0000-0000D8130000}"/>
    <cellStyle name="Normal 4 2 5 2 4 3 2" xfId="15306" xr:uid="{430872A2-87D4-481B-B28A-FAEBB1006B43}"/>
    <cellStyle name="Normal 4 2 5 2 4 4" xfId="11089" xr:uid="{48A89694-C0A1-4901-ACF1-944AA5356A98}"/>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9355D5FD-87AA-43F0-B8B7-4C237C171927}"/>
    <cellStyle name="Normal 4 2 5 2 5 2 3" xfId="13647" xr:uid="{E2B75230-D769-491B-9783-2F68E8964525}"/>
    <cellStyle name="Normal 4 2 5 2 5 3" xfId="6393" xr:uid="{00000000-0005-0000-0000-0000DC130000}"/>
    <cellStyle name="Normal 4 2 5 2 5 3 2" xfId="15719" xr:uid="{2D15EDA4-91CA-446F-B95C-7D46BF6D8850}"/>
    <cellStyle name="Normal 4 2 5 2 5 4" xfId="11502" xr:uid="{846D634B-344E-4631-B033-269881E9B1D4}"/>
    <cellStyle name="Normal 4 2 5 2 6" xfId="2523" xr:uid="{00000000-0005-0000-0000-0000DD130000}"/>
    <cellStyle name="Normal 4 2 5 2 6 2" xfId="6806" xr:uid="{00000000-0005-0000-0000-0000DE130000}"/>
    <cellStyle name="Normal 4 2 5 2 6 2 2" xfId="16132" xr:uid="{DB169240-57EB-4452-9669-A3CCB0E7BB04}"/>
    <cellStyle name="Normal 4 2 5 2 6 3" xfId="11915" xr:uid="{C6854F14-D060-4754-825B-18C24E95A9B4}"/>
    <cellStyle name="Normal 4 2 5 2 7" xfId="4741" xr:uid="{00000000-0005-0000-0000-0000DF130000}"/>
    <cellStyle name="Normal 4 2 5 2 7 2" xfId="14067" xr:uid="{B8B0DFAF-DD23-4513-85ED-1AB2EDC7012B}"/>
    <cellStyle name="Normal 4 2 5 2 8" xfId="9053" xr:uid="{0AE18A98-D9E6-47B9-86B0-DDAD3BC77B48}"/>
    <cellStyle name="Normal 4 2 5 2 9" xfId="9850" xr:uid="{0EF3BCF9-AA37-4992-8395-1AAC73AD1A82}"/>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9D505FE1-8F1B-4803-99C5-76647CD958E6}"/>
    <cellStyle name="Normal 4 2 5 3 2 3" xfId="12407" xr:uid="{AC46F24F-581B-4E18-8DA4-715CA39972EE}"/>
    <cellStyle name="Normal 4 2 5 3 3" xfId="5153" xr:uid="{00000000-0005-0000-0000-0000E3130000}"/>
    <cellStyle name="Normal 4 2 5 3 3 2" xfId="14479" xr:uid="{A985AA2D-7D7A-4C5E-B924-DA8DFB800C20}"/>
    <cellStyle name="Normal 4 2 5 3 4" xfId="9271" xr:uid="{41AE7BB1-E3C7-48BD-B24F-55AE39E68BB6}"/>
    <cellStyle name="Normal 4 2 5 3 5" xfId="10262" xr:uid="{CE7C2D10-8AF7-4F55-ADB6-BF7493924EFC}"/>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D7EE8945-27E6-4A47-841F-2FC8E71677D0}"/>
    <cellStyle name="Normal 4 2 5 4 2 3" xfId="12820" xr:uid="{2C4AE0FC-F177-4571-905F-58E07BCB2CE5}"/>
    <cellStyle name="Normal 4 2 5 4 3" xfId="5566" xr:uid="{00000000-0005-0000-0000-0000E7130000}"/>
    <cellStyle name="Normal 4 2 5 4 3 2" xfId="14892" xr:uid="{D110BB8C-5B36-4128-93D6-317962698DF7}"/>
    <cellStyle name="Normal 4 2 5 4 4" xfId="10675" xr:uid="{C80A05FD-3ADE-4910-892D-A4AC536AD3D7}"/>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000159EE-804F-4314-BB21-471F9BD8D47E}"/>
    <cellStyle name="Normal 4 2 5 5 2 3" xfId="13233" xr:uid="{6A7E3D81-6928-47F7-A5DB-B9D8FC49F335}"/>
    <cellStyle name="Normal 4 2 5 5 3" xfId="5979" xr:uid="{00000000-0005-0000-0000-0000EB130000}"/>
    <cellStyle name="Normal 4 2 5 5 3 2" xfId="15305" xr:uid="{06F8CD61-C8A2-457B-8BA3-D28DB0BC2E3F}"/>
    <cellStyle name="Normal 4 2 5 5 4" xfId="11088" xr:uid="{FC16CE56-DFF1-46EB-B566-C77D6EBF7332}"/>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0DE03D78-5079-4070-B69A-27B3DF476842}"/>
    <cellStyle name="Normal 4 2 5 6 2 3" xfId="13646" xr:uid="{73BE06B0-A347-485D-954B-5D843BD3F9A7}"/>
    <cellStyle name="Normal 4 2 5 6 3" xfId="6392" xr:uid="{00000000-0005-0000-0000-0000EF130000}"/>
    <cellStyle name="Normal 4 2 5 6 3 2" xfId="15718" xr:uid="{C930AC4D-73D4-4AAC-9662-A566963F43E4}"/>
    <cellStyle name="Normal 4 2 5 6 4" xfId="11501" xr:uid="{A137B331-50C6-4FE6-A292-AA820040346C}"/>
    <cellStyle name="Normal 4 2 5 7" xfId="2522" xr:uid="{00000000-0005-0000-0000-0000F0130000}"/>
    <cellStyle name="Normal 4 2 5 7 2" xfId="6805" xr:uid="{00000000-0005-0000-0000-0000F1130000}"/>
    <cellStyle name="Normal 4 2 5 7 2 2" xfId="16131" xr:uid="{F952E3FA-B3B8-47C2-AE46-2C5BC980DC75}"/>
    <cellStyle name="Normal 4 2 5 7 3" xfId="11914" xr:uid="{AE66D525-A5DF-48E4-AEA1-603021A623B8}"/>
    <cellStyle name="Normal 4 2 5 8" xfId="4740" xr:uid="{00000000-0005-0000-0000-0000F2130000}"/>
    <cellStyle name="Normal 4 2 5 8 2" xfId="14066" xr:uid="{F6C7171E-8A3E-4F82-8BF0-F894167A640A}"/>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16EF826A-019E-446B-B0A9-A37407785830}"/>
    <cellStyle name="Normal 4 2 6 2 2 3" xfId="12409" xr:uid="{43C62A72-D8C4-40F9-9D18-839EEF282FA5}"/>
    <cellStyle name="Normal 4 2 6 2 3" xfId="5155" xr:uid="{00000000-0005-0000-0000-0000F7130000}"/>
    <cellStyle name="Normal 4 2 6 2 3 2" xfId="14481" xr:uid="{4033FB0C-634F-418A-B7E7-0F77C0992F6F}"/>
    <cellStyle name="Normal 4 2 6 2 4" xfId="9387" xr:uid="{933EA8C7-37F7-4AF2-922A-47A5CB1A47BC}"/>
    <cellStyle name="Normal 4 2 6 2 5" xfId="10264" xr:uid="{A93B47DE-8342-49F1-AC12-00D707320524}"/>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654BD79C-9978-404D-964E-11F3615F16F8}"/>
    <cellStyle name="Normal 4 2 6 3 2 3" xfId="12822" xr:uid="{0CE28F9A-0878-4CC4-80B8-507B5A931BEA}"/>
    <cellStyle name="Normal 4 2 6 3 3" xfId="5568" xr:uid="{00000000-0005-0000-0000-0000FB130000}"/>
    <cellStyle name="Normal 4 2 6 3 3 2" xfId="14894" xr:uid="{56E40930-4ED2-423C-81A7-51A0C5956A72}"/>
    <cellStyle name="Normal 4 2 6 3 4" xfId="10677" xr:uid="{DC429478-0746-408B-B088-B67982623218}"/>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0B75B575-F601-4C11-8295-526D5182B249}"/>
    <cellStyle name="Normal 4 2 6 4 2 3" xfId="13235" xr:uid="{61A137DB-C687-4A08-BC06-8A09EA356A5F}"/>
    <cellStyle name="Normal 4 2 6 4 3" xfId="5981" xr:uid="{00000000-0005-0000-0000-0000FF130000}"/>
    <cellStyle name="Normal 4 2 6 4 3 2" xfId="15307" xr:uid="{FD15EAFD-02A7-4300-B307-DE08C68022F0}"/>
    <cellStyle name="Normal 4 2 6 4 4" xfId="11090" xr:uid="{A0E6CAD0-B35C-47E0-8E3D-30DD3D2D23B0}"/>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D9C17899-3EC8-4366-97E6-A97F42A0B0FD}"/>
    <cellStyle name="Normal 4 2 6 5 2 3" xfId="13648" xr:uid="{72E39379-D715-441D-9EED-4449A5CB6C4B}"/>
    <cellStyle name="Normal 4 2 6 5 3" xfId="6394" xr:uid="{00000000-0005-0000-0000-000003140000}"/>
    <cellStyle name="Normal 4 2 6 5 3 2" xfId="15720" xr:uid="{99618AA7-1477-419E-9E97-8DD54BC85152}"/>
    <cellStyle name="Normal 4 2 6 5 4" xfId="11503" xr:uid="{3F3A511E-F2B1-4E63-B82D-8C49437C2796}"/>
    <cellStyle name="Normal 4 2 6 6" xfId="2524" xr:uid="{00000000-0005-0000-0000-000004140000}"/>
    <cellStyle name="Normal 4 2 6 6 2" xfId="6807" xr:uid="{00000000-0005-0000-0000-000005140000}"/>
    <cellStyle name="Normal 4 2 6 6 2 2" xfId="16133" xr:uid="{42678BD0-EEBC-4A37-8C3F-B9B41CA2F5B0}"/>
    <cellStyle name="Normal 4 2 6 6 3" xfId="11916" xr:uid="{CE404CE6-E4AF-4A22-A187-FE5B394019F2}"/>
    <cellStyle name="Normal 4 2 6 7" xfId="4742" xr:uid="{00000000-0005-0000-0000-000006140000}"/>
    <cellStyle name="Normal 4 2 6 7 2" xfId="14068" xr:uid="{94AFE127-0F43-4D4C-8E58-4F5EE1FA028C}"/>
    <cellStyle name="Normal 4 2 6 8" xfId="8962" xr:uid="{1A1596D6-3914-4465-A638-E540359059D2}"/>
    <cellStyle name="Normal 4 2 6 9" xfId="9851" xr:uid="{BBC74073-78D0-4D76-959E-7C9615A1B74E}"/>
    <cellStyle name="Normal 4 2 7" xfId="9165" xr:uid="{6363F967-7399-442D-B2CE-00085FF7F1E8}"/>
    <cellStyle name="Normal 4 2 8" xfId="8743" xr:uid="{E2B8331F-47F9-4829-99C7-E05840A106B9}"/>
    <cellStyle name="Normal 4 3" xfId="366" xr:uid="{00000000-0005-0000-0000-000007140000}"/>
    <cellStyle name="Normal 4 3 10" xfId="9852" xr:uid="{270EC6F3-3655-461B-B972-77FAE5DD631B}"/>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3EB0DBA1-3092-43EA-A605-25D147737EAD}"/>
    <cellStyle name="Normal 4 3 2 2 2 2" xfId="370" xr:uid="{00000000-0005-0000-0000-00000B140000}"/>
    <cellStyle name="Normal 4 3 2 2 2 2 10" xfId="9854" xr:uid="{9FD7393C-9406-483E-A35A-47FF99A2E35D}"/>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6593A253-6F30-4B06-96F5-7AAC3C6F8B3E}"/>
    <cellStyle name="Normal 4 3 2 2 2 2 2 2 2 3" xfId="12413" xr:uid="{76C322A7-D5CD-436D-88E8-F444DC78C599}"/>
    <cellStyle name="Normal 4 3 2 2 2 2 2 2 3" xfId="5159" xr:uid="{00000000-0005-0000-0000-000010140000}"/>
    <cellStyle name="Normal 4 3 2 2 2 2 2 2 3 2" xfId="14485" xr:uid="{1C03D619-13BD-471E-B4A3-1BD2FEF6979C}"/>
    <cellStyle name="Normal 4 3 2 2 2 2 2 2 4" xfId="9557" xr:uid="{4F6BDD99-7BF1-4D2F-9EDC-4F75F1942DB4}"/>
    <cellStyle name="Normal 4 3 2 2 2 2 2 2 5" xfId="10268" xr:uid="{3317BFB4-E532-4E6B-B79F-07DB74910EEC}"/>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F2929E10-760B-4F24-A6F4-AC4AAF8A21D7}"/>
    <cellStyle name="Normal 4 3 2 2 2 2 2 3 2 3" xfId="12826" xr:uid="{06EF0649-8353-479F-A65C-7B97933E0686}"/>
    <cellStyle name="Normal 4 3 2 2 2 2 2 3 3" xfId="5572" xr:uid="{00000000-0005-0000-0000-000014140000}"/>
    <cellStyle name="Normal 4 3 2 2 2 2 2 3 3 2" xfId="14898" xr:uid="{C9E50119-E426-4785-877F-FE39FA5CD0BD}"/>
    <cellStyle name="Normal 4 3 2 2 2 2 2 3 4" xfId="10681" xr:uid="{633003C5-6316-4B44-A039-623C4AD3644A}"/>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B789BE51-BA6C-45BD-82B3-4762C542C8F3}"/>
    <cellStyle name="Normal 4 3 2 2 2 2 2 4 2 3" xfId="13239" xr:uid="{AE46C379-EDA9-4021-9BDF-6D1C2110C0DE}"/>
    <cellStyle name="Normal 4 3 2 2 2 2 2 4 3" xfId="5985" xr:uid="{00000000-0005-0000-0000-000018140000}"/>
    <cellStyle name="Normal 4 3 2 2 2 2 2 4 3 2" xfId="15311" xr:uid="{6F17F107-DF11-40F5-9598-E6977BFB5345}"/>
    <cellStyle name="Normal 4 3 2 2 2 2 2 4 4" xfId="11094" xr:uid="{ECD80F95-E775-462C-A26D-4346F3253243}"/>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4DD36B43-77EF-4697-8AB7-882061836009}"/>
    <cellStyle name="Normal 4 3 2 2 2 2 2 5 2 3" xfId="13652" xr:uid="{46A3CBC1-495F-42C8-BB9A-B8324025D20F}"/>
    <cellStyle name="Normal 4 3 2 2 2 2 2 5 3" xfId="6398" xr:uid="{00000000-0005-0000-0000-00001C140000}"/>
    <cellStyle name="Normal 4 3 2 2 2 2 2 5 3 2" xfId="15724" xr:uid="{8A722693-FC80-4B72-A73D-F6CC3426574F}"/>
    <cellStyle name="Normal 4 3 2 2 2 2 2 5 4" xfId="11507" xr:uid="{05E9CEB3-6742-4849-B7A0-72662F498FAF}"/>
    <cellStyle name="Normal 4 3 2 2 2 2 2 6" xfId="2528" xr:uid="{00000000-0005-0000-0000-00001D140000}"/>
    <cellStyle name="Normal 4 3 2 2 2 2 2 6 2" xfId="6811" xr:uid="{00000000-0005-0000-0000-00001E140000}"/>
    <cellStyle name="Normal 4 3 2 2 2 2 2 6 2 2" xfId="16137" xr:uid="{9AAA596D-C52C-414D-9CFE-8DDDDBBE1160}"/>
    <cellStyle name="Normal 4 3 2 2 2 2 2 6 3" xfId="11920" xr:uid="{B189B530-1257-4750-8009-B0C19DA5732D}"/>
    <cellStyle name="Normal 4 3 2 2 2 2 2 7" xfId="4746" xr:uid="{00000000-0005-0000-0000-00001F140000}"/>
    <cellStyle name="Normal 4 3 2 2 2 2 2 7 2" xfId="14072" xr:uid="{0CCBD351-A9ED-4B01-AC6A-2406B9A677B5}"/>
    <cellStyle name="Normal 4 3 2 2 2 2 2 8" xfId="9132" xr:uid="{14F6ED12-EABF-4C82-AD59-55D351026913}"/>
    <cellStyle name="Normal 4 3 2 2 2 2 2 9" xfId="9855" xr:uid="{5B9BF660-C8D5-4C8D-856C-56124BB012ED}"/>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D34AF30C-28BE-42A4-B0D5-B6341C98A5EC}"/>
    <cellStyle name="Normal 4 3 2 2 2 2 3 2 3" xfId="12412" xr:uid="{64977694-1CB6-47E8-A5F7-7666487CA7F4}"/>
    <cellStyle name="Normal 4 3 2 2 2 2 3 3" xfId="5158" xr:uid="{00000000-0005-0000-0000-000023140000}"/>
    <cellStyle name="Normal 4 3 2 2 2 2 3 3 2" xfId="14484" xr:uid="{7B066473-B852-4288-8F47-171660E125DD}"/>
    <cellStyle name="Normal 4 3 2 2 2 2 3 4" xfId="9350" xr:uid="{DFFEAFB7-A284-4FD9-B115-C19DA011CCC7}"/>
    <cellStyle name="Normal 4 3 2 2 2 2 3 5" xfId="10267" xr:uid="{AAD24EED-CB05-452A-B5ED-6EFE084A517C}"/>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2EAB99A8-E2B7-4BB3-84BE-279FFDE00813}"/>
    <cellStyle name="Normal 4 3 2 2 2 2 4 2 3" xfId="12825" xr:uid="{6F807458-5663-474A-84F6-FE87CCB743BC}"/>
    <cellStyle name="Normal 4 3 2 2 2 2 4 3" xfId="5571" xr:uid="{00000000-0005-0000-0000-000027140000}"/>
    <cellStyle name="Normal 4 3 2 2 2 2 4 3 2" xfId="14897" xr:uid="{557542F8-3487-4F67-85A3-DB875D93317B}"/>
    <cellStyle name="Normal 4 3 2 2 2 2 4 4" xfId="10680" xr:uid="{FE1E68FF-501B-4BBA-97D0-8B3760C0338F}"/>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DA5AE941-1DF9-475C-804D-A881D97DF990}"/>
    <cellStyle name="Normal 4 3 2 2 2 2 5 2 3" xfId="13238" xr:uid="{68B9F1B5-4EFD-4ADE-8B7B-1C30B44CE4AA}"/>
    <cellStyle name="Normal 4 3 2 2 2 2 5 3" xfId="5984" xr:uid="{00000000-0005-0000-0000-00002B140000}"/>
    <cellStyle name="Normal 4 3 2 2 2 2 5 3 2" xfId="15310" xr:uid="{CDCA0F0E-85E0-44E2-9292-76CC6B3987EC}"/>
    <cellStyle name="Normal 4 3 2 2 2 2 5 4" xfId="11093" xr:uid="{002C228B-B09D-49A3-9146-3A89E5BF17BD}"/>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E4B564E9-BA44-4F34-B87D-6E108043CF64}"/>
    <cellStyle name="Normal 4 3 2 2 2 2 6 2 3" xfId="13651" xr:uid="{B511C8C3-71E1-44EB-B1F8-05079F9DFFB2}"/>
    <cellStyle name="Normal 4 3 2 2 2 2 6 3" xfId="6397" xr:uid="{00000000-0005-0000-0000-00002F140000}"/>
    <cellStyle name="Normal 4 3 2 2 2 2 6 3 2" xfId="15723" xr:uid="{A847F05B-20AF-442C-956C-DF987846D3D1}"/>
    <cellStyle name="Normal 4 3 2 2 2 2 6 4" xfId="11506" xr:uid="{A40DC9C3-C960-4388-8136-1A9BAA0068AB}"/>
    <cellStyle name="Normal 4 3 2 2 2 2 7" xfId="2527" xr:uid="{00000000-0005-0000-0000-000030140000}"/>
    <cellStyle name="Normal 4 3 2 2 2 2 7 2" xfId="6810" xr:uid="{00000000-0005-0000-0000-000031140000}"/>
    <cellStyle name="Normal 4 3 2 2 2 2 7 2 2" xfId="16136" xr:uid="{27F8A80A-1A8B-4941-AD39-ACE07C4B3470}"/>
    <cellStyle name="Normal 4 3 2 2 2 2 7 3" xfId="11919" xr:uid="{562953AC-544B-4807-83DC-647CB2E8FA71}"/>
    <cellStyle name="Normal 4 3 2 2 2 2 8" xfId="4745" xr:uid="{00000000-0005-0000-0000-000032140000}"/>
    <cellStyle name="Normal 4 3 2 2 2 2 8 2" xfId="14071" xr:uid="{9F6AE96A-B121-468C-912B-766C64F6F7C8}"/>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0409C509-A9C8-4E90-AB30-0A020C3AF835}"/>
    <cellStyle name="Normal 4 3 2 2 2 3 2 2 3" xfId="12414" xr:uid="{A546C533-0E7A-4059-934E-0A3BD087BCCF}"/>
    <cellStyle name="Normal 4 3 2 2 2 3 2 3" xfId="5160" xr:uid="{00000000-0005-0000-0000-000037140000}"/>
    <cellStyle name="Normal 4 3 2 2 2 3 2 3 2" xfId="14486" xr:uid="{644C1A14-8A6A-48C3-9421-49405C90665F}"/>
    <cellStyle name="Normal 4 3 2 2 2 3 2 4" xfId="9454" xr:uid="{B81F5EAA-7D8E-43B5-94D7-313E66088BA5}"/>
    <cellStyle name="Normal 4 3 2 2 2 3 2 5" xfId="10269" xr:uid="{D3994D1C-548B-4029-B181-0137D5CBFDF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8DCE363A-CC61-49EE-879A-BA397F8BB122}"/>
    <cellStyle name="Normal 4 3 2 2 2 3 3 2 3" xfId="12827" xr:uid="{982021EE-06DA-41A7-9C42-678FBF19FF18}"/>
    <cellStyle name="Normal 4 3 2 2 2 3 3 3" xfId="5573" xr:uid="{00000000-0005-0000-0000-00003B140000}"/>
    <cellStyle name="Normal 4 3 2 2 2 3 3 3 2" xfId="14899" xr:uid="{7E80C6AB-9E01-429A-9D39-926F57131C9A}"/>
    <cellStyle name="Normal 4 3 2 2 2 3 3 4" xfId="10682" xr:uid="{8A7927EE-128F-4BCE-8301-6CE4C356E7ED}"/>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0F45BC98-737C-4492-BD8C-34520C3C646E}"/>
    <cellStyle name="Normal 4 3 2 2 2 3 4 2 3" xfId="13240" xr:uid="{004F9EB2-C8E6-4D3B-A0FD-7DDD8516CC64}"/>
    <cellStyle name="Normal 4 3 2 2 2 3 4 3" xfId="5986" xr:uid="{00000000-0005-0000-0000-00003F140000}"/>
    <cellStyle name="Normal 4 3 2 2 2 3 4 3 2" xfId="15312" xr:uid="{EE0798C7-5201-4081-A9BE-A12439FD144F}"/>
    <cellStyle name="Normal 4 3 2 2 2 3 4 4" xfId="11095" xr:uid="{3D7C5927-3164-4788-B264-FF2E77B6E9DD}"/>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C6579804-B9CD-4D90-A5A7-2878BED8D3D2}"/>
    <cellStyle name="Normal 4 3 2 2 2 3 5 2 3" xfId="13653" xr:uid="{77D49031-B145-42D4-A69B-7A951EA789C2}"/>
    <cellStyle name="Normal 4 3 2 2 2 3 5 3" xfId="6399" xr:uid="{00000000-0005-0000-0000-000043140000}"/>
    <cellStyle name="Normal 4 3 2 2 2 3 5 3 2" xfId="15725" xr:uid="{10F4FE18-C203-45B1-8021-ECF7BB042B89}"/>
    <cellStyle name="Normal 4 3 2 2 2 3 5 4" xfId="11508" xr:uid="{0DA795A7-25AB-4286-B910-35A8516659CF}"/>
    <cellStyle name="Normal 4 3 2 2 2 3 6" xfId="2529" xr:uid="{00000000-0005-0000-0000-000044140000}"/>
    <cellStyle name="Normal 4 3 2 2 2 3 6 2" xfId="6812" xr:uid="{00000000-0005-0000-0000-000045140000}"/>
    <cellStyle name="Normal 4 3 2 2 2 3 6 2 2" xfId="16138" xr:uid="{19AC2811-9B1F-4496-923D-5D8BFE35BE1D}"/>
    <cellStyle name="Normal 4 3 2 2 2 3 6 3" xfId="11921" xr:uid="{697B91A7-832F-4EBC-82E8-9A3C488B55EB}"/>
    <cellStyle name="Normal 4 3 2 2 2 3 7" xfId="4747" xr:uid="{00000000-0005-0000-0000-000046140000}"/>
    <cellStyle name="Normal 4 3 2 2 2 3 7 2" xfId="14073" xr:uid="{76228F69-0323-4F7A-9404-E84A3549F296}"/>
    <cellStyle name="Normal 4 3 2 2 2 3 8" xfId="9029" xr:uid="{CC421D7E-69EF-4D96-A95C-E67F046F8D14}"/>
    <cellStyle name="Normal 4 3 2 2 2 3 9" xfId="9856" xr:uid="{2BCBADE8-8A9B-478D-AD70-57F6FD829FD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6BD6F612-FFD7-45CF-9C84-D039C68BA8EE}"/>
    <cellStyle name="Normal 4 3 2 2 2 4 2 3" xfId="12411" xr:uid="{611827D3-9C27-4A9A-9213-EB5F15DAD7C0}"/>
    <cellStyle name="Normal 4 3 2 2 2 4 3" xfId="5157" xr:uid="{00000000-0005-0000-0000-00004A140000}"/>
    <cellStyle name="Normal 4 3 2 2 2 4 3 2" xfId="14483" xr:uid="{8FD02A38-E143-49D0-B16E-3DB3DECB83B1}"/>
    <cellStyle name="Normal 4 3 2 2 2 4 4" xfId="9247" xr:uid="{70D9D224-DB0B-42B4-B4A9-BC88F455C395}"/>
    <cellStyle name="Normal 4 3 2 2 2 4 5" xfId="10266" xr:uid="{E14C4CE8-10EC-43FC-AA2A-EF6DF4897A31}"/>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780AD9F4-B004-4F09-BD64-143827C3CABE}"/>
    <cellStyle name="Normal 4 3 2 2 2 5 2 3" xfId="12824" xr:uid="{72EF47C9-3FE7-4627-887E-B57648119AF7}"/>
    <cellStyle name="Normal 4 3 2 2 2 5 3" xfId="5570" xr:uid="{00000000-0005-0000-0000-00004E140000}"/>
    <cellStyle name="Normal 4 3 2 2 2 5 3 2" xfId="14896" xr:uid="{8B1D8050-4F37-4F7F-ACB7-C9E0378E6365}"/>
    <cellStyle name="Normal 4 3 2 2 2 5 4" xfId="10679" xr:uid="{149AE29F-E653-4D69-BCA1-036A5ED3D736}"/>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174A6B0B-1DBD-4A43-B94F-9350B7382EDF}"/>
    <cellStyle name="Normal 4 3 2 2 2 6 2 3" xfId="13237" xr:uid="{CE21D167-C21E-47D5-8820-96BF6F0470FA}"/>
    <cellStyle name="Normal 4 3 2 2 2 6 3" xfId="5983" xr:uid="{00000000-0005-0000-0000-000052140000}"/>
    <cellStyle name="Normal 4 3 2 2 2 6 3 2" xfId="15309" xr:uid="{830C6636-35EC-44FF-BACD-3554206B3840}"/>
    <cellStyle name="Normal 4 3 2 2 2 6 4" xfId="11092" xr:uid="{FCEAAB0D-9184-446C-88EE-446EA6E4FC05}"/>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C02506F1-31D6-4136-A89E-ACF4BF4D5985}"/>
    <cellStyle name="Normal 4 3 2 2 2 7 2 3" xfId="13650" xr:uid="{AEE6A49C-E8E5-4AE6-9E2F-11A17A5DD8CD}"/>
    <cellStyle name="Normal 4 3 2 2 2 7 3" xfId="6396" xr:uid="{00000000-0005-0000-0000-000056140000}"/>
    <cellStyle name="Normal 4 3 2 2 2 7 3 2" xfId="15722" xr:uid="{7D77187F-2ECD-4D5A-8288-CBAABC505139}"/>
    <cellStyle name="Normal 4 3 2 2 2 7 4" xfId="11505" xr:uid="{77F2F727-5A04-4F0A-BEEA-CC9F16F8DC61}"/>
    <cellStyle name="Normal 4 3 2 2 2 8" xfId="2526" xr:uid="{00000000-0005-0000-0000-000057140000}"/>
    <cellStyle name="Normal 4 3 2 2 2 8 2" xfId="6809" xr:uid="{00000000-0005-0000-0000-000058140000}"/>
    <cellStyle name="Normal 4 3 2 2 2 8 2 2" xfId="16135" xr:uid="{0EAA94F1-ECF7-4A4B-AD64-B8771E8F08FD}"/>
    <cellStyle name="Normal 4 3 2 2 2 8 3" xfId="11918" xr:uid="{3D121F6B-230D-4D08-B292-0E14E93ED8F6}"/>
    <cellStyle name="Normal 4 3 2 2 2 9" xfId="4744" xr:uid="{00000000-0005-0000-0000-000059140000}"/>
    <cellStyle name="Normal 4 3 2 2 2 9 2" xfId="14070" xr:uid="{F72F9EE4-F763-4924-A13B-D1F136665488}"/>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F16483BD-470F-40CF-A221-074639BE6583}"/>
    <cellStyle name="Normal 4 3 3 2" xfId="375" xr:uid="{00000000-0005-0000-0000-00005E140000}"/>
    <cellStyle name="Normal 4 3 3 2 10" xfId="9858" xr:uid="{42FEA1C0-0813-43E4-A3AD-202B137B6219}"/>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C8FDDCE9-4677-424C-A3BD-59C4A00ACD3D}"/>
    <cellStyle name="Normal 4 3 3 2 2 2 2 3" xfId="12417" xr:uid="{F395C120-AA5D-453D-B839-23EFE382E285}"/>
    <cellStyle name="Normal 4 3 3 2 2 2 3" xfId="5163" xr:uid="{00000000-0005-0000-0000-000063140000}"/>
    <cellStyle name="Normal 4 3 3 2 2 2 3 2" xfId="14489" xr:uid="{F2B48F2F-9083-4E3C-A6FC-392D4D12A50B}"/>
    <cellStyle name="Normal 4 3 3 2 2 2 4" xfId="9556" xr:uid="{7233D5E9-9F1E-43FF-8391-DCCFDF8A705D}"/>
    <cellStyle name="Normal 4 3 3 2 2 2 5" xfId="10272" xr:uid="{2702B64C-5343-4403-8012-1CD01B4B21C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3318DDE1-10D1-42C3-A38E-074BA997955A}"/>
    <cellStyle name="Normal 4 3 3 2 2 3 2 3" xfId="12830" xr:uid="{8E1438A7-36AC-4630-A9DE-B68BB4432390}"/>
    <cellStyle name="Normal 4 3 3 2 2 3 3" xfId="5576" xr:uid="{00000000-0005-0000-0000-000067140000}"/>
    <cellStyle name="Normal 4 3 3 2 2 3 3 2" xfId="14902" xr:uid="{3321921D-4407-4F71-9C7E-8CE3C553C491}"/>
    <cellStyle name="Normal 4 3 3 2 2 3 4" xfId="10685" xr:uid="{3B8B79FA-1525-462A-A0D7-438BA8EA0FB3}"/>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0B71D628-FE38-40E6-B72E-88A83C163E0E}"/>
    <cellStyle name="Normal 4 3 3 2 2 4 2 3" xfId="13243" xr:uid="{A4DF604C-5EA2-4385-8815-62912510EB79}"/>
    <cellStyle name="Normal 4 3 3 2 2 4 3" xfId="5989" xr:uid="{00000000-0005-0000-0000-00006B140000}"/>
    <cellStyle name="Normal 4 3 3 2 2 4 3 2" xfId="15315" xr:uid="{AF773613-35B6-4B56-85EB-D4E603063802}"/>
    <cellStyle name="Normal 4 3 3 2 2 4 4" xfId="11098" xr:uid="{96F28719-4A33-4B3C-B663-602ABFC3980A}"/>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087DA914-3EF1-4D59-9F52-5AA45C076126}"/>
    <cellStyle name="Normal 4 3 3 2 2 5 2 3" xfId="13656" xr:uid="{97D0E943-006F-41B2-AF1F-0EB7D99560FC}"/>
    <cellStyle name="Normal 4 3 3 2 2 5 3" xfId="6402" xr:uid="{00000000-0005-0000-0000-00006F140000}"/>
    <cellStyle name="Normal 4 3 3 2 2 5 3 2" xfId="15728" xr:uid="{1F6CE7D0-137B-4171-8B46-38E7CD0720EF}"/>
    <cellStyle name="Normal 4 3 3 2 2 5 4" xfId="11511" xr:uid="{7C26FCA9-3E85-4E8C-868D-8A327A39FFFE}"/>
    <cellStyle name="Normal 4 3 3 2 2 6" xfId="2532" xr:uid="{00000000-0005-0000-0000-000070140000}"/>
    <cellStyle name="Normal 4 3 3 2 2 6 2" xfId="6815" xr:uid="{00000000-0005-0000-0000-000071140000}"/>
    <cellStyle name="Normal 4 3 3 2 2 6 2 2" xfId="16141" xr:uid="{DD87010E-5ACF-42CD-BD72-5FB2C67FB0EB}"/>
    <cellStyle name="Normal 4 3 3 2 2 6 3" xfId="11924" xr:uid="{8040478F-F1ED-4C07-BE92-C3F4AD764C0E}"/>
    <cellStyle name="Normal 4 3 3 2 2 7" xfId="4750" xr:uid="{00000000-0005-0000-0000-000072140000}"/>
    <cellStyle name="Normal 4 3 3 2 2 7 2" xfId="14076" xr:uid="{2784504A-69BA-4060-9620-33A2A517DC54}"/>
    <cellStyle name="Normal 4 3 3 2 2 8" xfId="9131" xr:uid="{D7BA3B10-6765-4B57-99D1-3AF7343772F8}"/>
    <cellStyle name="Normal 4 3 3 2 2 9" xfId="9859" xr:uid="{C7C35DE0-3C1B-4A5B-B06C-4580B50FC8B4}"/>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DE4C6ED4-94C2-4693-A71C-82D50E251A8A}"/>
    <cellStyle name="Normal 4 3 3 2 3 2 3" xfId="12416" xr:uid="{E35DFF05-443A-42EF-872F-B3510811D836}"/>
    <cellStyle name="Normal 4 3 3 2 3 3" xfId="5162" xr:uid="{00000000-0005-0000-0000-000076140000}"/>
    <cellStyle name="Normal 4 3 3 2 3 3 2" xfId="14488" xr:uid="{C60136A6-17B6-448D-8AB8-5FE4FE7773C8}"/>
    <cellStyle name="Normal 4 3 3 2 3 4" xfId="9349" xr:uid="{E498700C-D7AE-42FC-8EB1-59BA2C1BA6B9}"/>
    <cellStyle name="Normal 4 3 3 2 3 5" xfId="10271" xr:uid="{EA35EDED-5A2B-4E2E-8673-C6A479C29361}"/>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A902F5FC-B197-43A1-8120-616814A0CFEB}"/>
    <cellStyle name="Normal 4 3 3 2 4 2 3" xfId="12829" xr:uid="{CA1592E4-8F9A-479A-8259-FDCF70F87748}"/>
    <cellStyle name="Normal 4 3 3 2 4 3" xfId="5575" xr:uid="{00000000-0005-0000-0000-00007A140000}"/>
    <cellStyle name="Normal 4 3 3 2 4 3 2" xfId="14901" xr:uid="{543D8CE7-C442-4072-8681-30C4DEDBFE4B}"/>
    <cellStyle name="Normal 4 3 3 2 4 4" xfId="10684" xr:uid="{CE54E480-1188-4A39-8340-4A5C65192743}"/>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BC2F37BD-C515-415B-BBD9-A767167D5FA1}"/>
    <cellStyle name="Normal 4 3 3 2 5 2 3" xfId="13242" xr:uid="{2DC8219D-7DB5-4741-AF6D-26CAF5388BC2}"/>
    <cellStyle name="Normal 4 3 3 2 5 3" xfId="5988" xr:uid="{00000000-0005-0000-0000-00007E140000}"/>
    <cellStyle name="Normal 4 3 3 2 5 3 2" xfId="15314" xr:uid="{6B07877C-752F-4160-A45A-C0B4E09814CD}"/>
    <cellStyle name="Normal 4 3 3 2 5 4" xfId="11097" xr:uid="{E98C0E2D-33A2-4756-9F62-1EE4F2C3332A}"/>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27B866A9-3FEE-41CF-A831-2BC238B67EE3}"/>
    <cellStyle name="Normal 4 3 3 2 6 2 3" xfId="13655" xr:uid="{A2331653-26A7-4DC6-9C90-B05C2D63336E}"/>
    <cellStyle name="Normal 4 3 3 2 6 3" xfId="6401" xr:uid="{00000000-0005-0000-0000-000082140000}"/>
    <cellStyle name="Normal 4 3 3 2 6 3 2" xfId="15727" xr:uid="{B88A9D2D-DB68-4320-8422-920491CFB587}"/>
    <cellStyle name="Normal 4 3 3 2 6 4" xfId="11510" xr:uid="{0EC4A631-6C28-492A-89CB-55A366D2BD0B}"/>
    <cellStyle name="Normal 4 3 3 2 7" xfId="2531" xr:uid="{00000000-0005-0000-0000-000083140000}"/>
    <cellStyle name="Normal 4 3 3 2 7 2" xfId="6814" xr:uid="{00000000-0005-0000-0000-000084140000}"/>
    <cellStyle name="Normal 4 3 3 2 7 2 2" xfId="16140" xr:uid="{F5241D8C-209E-45C4-8EE0-5FDBF3D1DFD3}"/>
    <cellStyle name="Normal 4 3 3 2 7 3" xfId="11923" xr:uid="{F5CACE1F-D437-4B6A-B121-FEA134391189}"/>
    <cellStyle name="Normal 4 3 3 2 8" xfId="4749" xr:uid="{00000000-0005-0000-0000-000085140000}"/>
    <cellStyle name="Normal 4 3 3 2 8 2" xfId="14075" xr:uid="{70B919D8-FF6F-40FB-A535-F223201F63B9}"/>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710D27F2-DBB3-4028-B6D5-BFC64E59FAF6}"/>
    <cellStyle name="Normal 4 3 3 3 2 2 3" xfId="12418" xr:uid="{B3B9F99B-D347-4077-979A-6BD7622C7A02}"/>
    <cellStyle name="Normal 4 3 3 3 2 3" xfId="5164" xr:uid="{00000000-0005-0000-0000-00008A140000}"/>
    <cellStyle name="Normal 4 3 3 3 2 3 2" xfId="14490" xr:uid="{6F76BFB8-8210-415C-9CC9-B5FE9F1C29CC}"/>
    <cellStyle name="Normal 4 3 3 3 2 4" xfId="9453" xr:uid="{18D68920-503C-42C1-A733-EBE17DC6D008}"/>
    <cellStyle name="Normal 4 3 3 3 2 5" xfId="10273" xr:uid="{3C56A899-2BA6-4400-830F-4186F3319494}"/>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A36CAC85-508E-4907-952F-C60DDEC85839}"/>
    <cellStyle name="Normal 4 3 3 3 3 2 3" xfId="12831" xr:uid="{4FA6E47D-733E-45B2-8326-7E65B760FAB5}"/>
    <cellStyle name="Normal 4 3 3 3 3 3" xfId="5577" xr:uid="{00000000-0005-0000-0000-00008E140000}"/>
    <cellStyle name="Normal 4 3 3 3 3 3 2" xfId="14903" xr:uid="{AF19CAD3-9DB9-4812-969D-3DC6D10CDEEF}"/>
    <cellStyle name="Normal 4 3 3 3 3 4" xfId="10686" xr:uid="{432BFFB9-5CA4-4839-8D60-0B7C1E75FBE5}"/>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A0A4EDC2-FD52-4E09-B7B2-D240E189FF4E}"/>
    <cellStyle name="Normal 4 3 3 3 4 2 3" xfId="13244" xr:uid="{D62980B4-B685-498B-A6B4-E17760410272}"/>
    <cellStyle name="Normal 4 3 3 3 4 3" xfId="5990" xr:uid="{00000000-0005-0000-0000-000092140000}"/>
    <cellStyle name="Normal 4 3 3 3 4 3 2" xfId="15316" xr:uid="{95DD2C82-3A92-441A-A33A-F6859763E1E6}"/>
    <cellStyle name="Normal 4 3 3 3 4 4" xfId="11099" xr:uid="{20DB3C31-280D-44A6-B502-DE83EE78B68F}"/>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F877FDCA-93AA-4EF2-8558-53A380062084}"/>
    <cellStyle name="Normal 4 3 3 3 5 2 3" xfId="13657" xr:uid="{75039538-770A-49B9-A40C-03156769DA70}"/>
    <cellStyle name="Normal 4 3 3 3 5 3" xfId="6403" xr:uid="{00000000-0005-0000-0000-000096140000}"/>
    <cellStyle name="Normal 4 3 3 3 5 3 2" xfId="15729" xr:uid="{B1D520FA-5F36-48E3-94ED-87C2C8C8D809}"/>
    <cellStyle name="Normal 4 3 3 3 5 4" xfId="11512" xr:uid="{0C232BED-7F3C-40DE-B893-E6B1AF8F1E77}"/>
    <cellStyle name="Normal 4 3 3 3 6" xfId="2533" xr:uid="{00000000-0005-0000-0000-000097140000}"/>
    <cellStyle name="Normal 4 3 3 3 6 2" xfId="6816" xr:uid="{00000000-0005-0000-0000-000098140000}"/>
    <cellStyle name="Normal 4 3 3 3 6 2 2" xfId="16142" xr:uid="{9C9D27E6-DD67-44F9-AC7E-50F566C9B324}"/>
    <cellStyle name="Normal 4 3 3 3 6 3" xfId="11925" xr:uid="{6CDAB98C-B2D1-4BF5-9421-7789290CA4E2}"/>
    <cellStyle name="Normal 4 3 3 3 7" xfId="4751" xr:uid="{00000000-0005-0000-0000-000099140000}"/>
    <cellStyle name="Normal 4 3 3 3 7 2" xfId="14077" xr:uid="{B61F3A18-1748-4089-A29B-062C0627B0EE}"/>
    <cellStyle name="Normal 4 3 3 3 8" xfId="9028" xr:uid="{A0BD85BE-0D8B-455E-B326-708B8FF8A8C8}"/>
    <cellStyle name="Normal 4 3 3 3 9" xfId="9860" xr:uid="{989FCE42-AAC2-4AFF-97B3-41FFC48EB0B2}"/>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C32D74E1-A217-4138-99C5-846EBE7B3046}"/>
    <cellStyle name="Normal 4 3 3 4 2 3" xfId="12415" xr:uid="{6C427154-5274-4361-9607-6373EAF83721}"/>
    <cellStyle name="Normal 4 3 3 4 3" xfId="5161" xr:uid="{00000000-0005-0000-0000-00009D140000}"/>
    <cellStyle name="Normal 4 3 3 4 3 2" xfId="14487" xr:uid="{ED326068-5EC4-4483-98BE-793F35739C72}"/>
    <cellStyle name="Normal 4 3 3 4 4" xfId="9246" xr:uid="{E1107DA9-8F13-4216-80A2-CEA1D2EF57FC}"/>
    <cellStyle name="Normal 4 3 3 4 5" xfId="10270" xr:uid="{61767158-2428-42B9-A912-490CF9345A23}"/>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3B51B022-E949-49B2-B60A-194CB08339F3}"/>
    <cellStyle name="Normal 4 3 3 5 2 3" xfId="12828" xr:uid="{47118119-BE1E-4B79-AF82-1F9D78CAE59E}"/>
    <cellStyle name="Normal 4 3 3 5 3" xfId="5574" xr:uid="{00000000-0005-0000-0000-0000A1140000}"/>
    <cellStyle name="Normal 4 3 3 5 3 2" xfId="14900" xr:uid="{81F8C3CE-00A1-4CD5-B913-530DE0F9C018}"/>
    <cellStyle name="Normal 4 3 3 5 4" xfId="10683" xr:uid="{2FB7D3C4-146F-47F6-AD6A-EC9F02107212}"/>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91EE0CD6-88A8-4784-AD6A-863F4ECE5974}"/>
    <cellStyle name="Normal 4 3 3 6 2 3" xfId="13241" xr:uid="{1BB3EACB-D24E-4196-A7B1-EF1ACB3F2AB1}"/>
    <cellStyle name="Normal 4 3 3 6 3" xfId="5987" xr:uid="{00000000-0005-0000-0000-0000A5140000}"/>
    <cellStyle name="Normal 4 3 3 6 3 2" xfId="15313" xr:uid="{F2068735-54D9-4913-BB0B-D8BBEFC6D5E7}"/>
    <cellStyle name="Normal 4 3 3 6 4" xfId="11096" xr:uid="{4B959448-9814-47EA-9E0A-A279FDDD814D}"/>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77998FDE-BDD7-412C-8A87-791DFB2485B6}"/>
    <cellStyle name="Normal 4 3 3 7 2 3" xfId="13654" xr:uid="{9CD552D2-06AE-4000-AC9F-839CB033F689}"/>
    <cellStyle name="Normal 4 3 3 7 3" xfId="6400" xr:uid="{00000000-0005-0000-0000-0000A9140000}"/>
    <cellStyle name="Normal 4 3 3 7 3 2" xfId="15726" xr:uid="{ECA14A02-9411-4F3D-950C-451D228CA9C2}"/>
    <cellStyle name="Normal 4 3 3 7 4" xfId="11509" xr:uid="{6ED8399C-FD1A-4168-A2EC-F9C3E1BB3149}"/>
    <cellStyle name="Normal 4 3 3 8" xfId="2530" xr:uid="{00000000-0005-0000-0000-0000AA140000}"/>
    <cellStyle name="Normal 4 3 3 8 2" xfId="6813" xr:uid="{00000000-0005-0000-0000-0000AB140000}"/>
    <cellStyle name="Normal 4 3 3 8 2 2" xfId="16139" xr:uid="{8B749F01-FB69-4FF1-B790-3B21A22DC04C}"/>
    <cellStyle name="Normal 4 3 3 8 3" xfId="11922" xr:uid="{CE04E7EF-9F41-42E5-B364-CD6AB9B734A9}"/>
    <cellStyle name="Normal 4 3 3 9" xfId="4748" xr:uid="{00000000-0005-0000-0000-0000AC140000}"/>
    <cellStyle name="Normal 4 3 3 9 2" xfId="14074" xr:uid="{84FCA011-5323-46F5-B113-E4E4A3F48E98}"/>
    <cellStyle name="Normal 4 3 4" xfId="842" xr:uid="{00000000-0005-0000-0000-0000AD140000}"/>
    <cellStyle name="Normal 4 3 4 2" xfId="3079" xr:uid="{00000000-0005-0000-0000-0000AE140000}"/>
    <cellStyle name="Normal 4 3 4 2 2" xfId="7301" xr:uid="{00000000-0005-0000-0000-0000AF140000}"/>
    <cellStyle name="Normal 4 3 4 2 2 2" xfId="16627" xr:uid="{74AC2C9E-E2A1-485E-8067-1BACA4C1B550}"/>
    <cellStyle name="Normal 4 3 4 2 3" xfId="12410" xr:uid="{E12B4F91-3D55-4B8A-B20C-E788C4B55473}"/>
    <cellStyle name="Normal 4 3 4 3" xfId="5156" xr:uid="{00000000-0005-0000-0000-0000B0140000}"/>
    <cellStyle name="Normal 4 3 4 3 2" xfId="14482" xr:uid="{127DE64C-B5C0-4137-8384-D5137EDDDE6D}"/>
    <cellStyle name="Normal 4 3 4 4" xfId="9608" xr:uid="{C2EFFD2B-01D5-4B2B-BD85-BB4245D6A35E}"/>
    <cellStyle name="Normal 4 3 4 5" xfId="10265" xr:uid="{BA70BB84-DBA6-4A29-AB6D-4445375FD7F9}"/>
    <cellStyle name="Normal 4 3 5" xfId="1262" xr:uid="{00000000-0005-0000-0000-0000B1140000}"/>
    <cellStyle name="Normal 4 3 5 2" xfId="3492" xr:uid="{00000000-0005-0000-0000-0000B2140000}"/>
    <cellStyle name="Normal 4 3 5 2 2" xfId="7714" xr:uid="{00000000-0005-0000-0000-0000B3140000}"/>
    <cellStyle name="Normal 4 3 5 2 2 2" xfId="17040" xr:uid="{5E8F3C10-D135-44B8-B52B-63C00711EB9F}"/>
    <cellStyle name="Normal 4 3 5 2 3" xfId="12823" xr:uid="{9AB1EA7C-5A5E-4754-AF22-FFFB4FDD083A}"/>
    <cellStyle name="Normal 4 3 5 3" xfId="5569" xr:uid="{00000000-0005-0000-0000-0000B4140000}"/>
    <cellStyle name="Normal 4 3 5 3 2" xfId="14895" xr:uid="{188BA39B-CD40-4EEC-AA24-73DBD58F72F6}"/>
    <cellStyle name="Normal 4 3 5 4" xfId="10678" xr:uid="{362C6B74-F0FF-4F8A-8203-E24A567B4D58}"/>
    <cellStyle name="Normal 4 3 6" xfId="1675" xr:uid="{00000000-0005-0000-0000-0000B5140000}"/>
    <cellStyle name="Normal 4 3 6 2" xfId="3905" xr:uid="{00000000-0005-0000-0000-0000B6140000}"/>
    <cellStyle name="Normal 4 3 6 2 2" xfId="8127" xr:uid="{00000000-0005-0000-0000-0000B7140000}"/>
    <cellStyle name="Normal 4 3 6 2 2 2" xfId="17453" xr:uid="{6E590223-7F2F-4B08-AA4E-B8331C9554E0}"/>
    <cellStyle name="Normal 4 3 6 2 3" xfId="13236" xr:uid="{82F4CED0-4750-4916-A2E0-45DFE17ED40C}"/>
    <cellStyle name="Normal 4 3 6 3" xfId="5982" xr:uid="{00000000-0005-0000-0000-0000B8140000}"/>
    <cellStyle name="Normal 4 3 6 3 2" xfId="15308" xr:uid="{2AD395B4-1AB9-4011-B2DF-5114CD762D5A}"/>
    <cellStyle name="Normal 4 3 6 4" xfId="11091" xr:uid="{DDBEBCF8-B342-4EBE-81BB-870B8C1BE0A1}"/>
    <cellStyle name="Normal 4 3 7" xfId="2089" xr:uid="{00000000-0005-0000-0000-0000B9140000}"/>
    <cellStyle name="Normal 4 3 7 2" xfId="4318" xr:uid="{00000000-0005-0000-0000-0000BA140000}"/>
    <cellStyle name="Normal 4 3 7 2 2" xfId="8540" xr:uid="{00000000-0005-0000-0000-0000BB140000}"/>
    <cellStyle name="Normal 4 3 7 2 2 2" xfId="17866" xr:uid="{A803C917-2C15-45FC-9A90-3E798B4EC270}"/>
    <cellStyle name="Normal 4 3 7 2 3" xfId="13649" xr:uid="{E8179E98-EBD3-4FFC-965C-43D537EF0D62}"/>
    <cellStyle name="Normal 4 3 7 3" xfId="6395" xr:uid="{00000000-0005-0000-0000-0000BC140000}"/>
    <cellStyle name="Normal 4 3 7 3 2" xfId="15721" xr:uid="{D1190F22-4768-4070-935A-B49CFB4B2EA8}"/>
    <cellStyle name="Normal 4 3 7 4" xfId="11504" xr:uid="{8E68121D-C452-4E1F-8BA6-B5B7443AF4C4}"/>
    <cellStyle name="Normal 4 3 8" xfId="2525" xr:uid="{00000000-0005-0000-0000-0000BD140000}"/>
    <cellStyle name="Normal 4 3 8 2" xfId="6808" xr:uid="{00000000-0005-0000-0000-0000BE140000}"/>
    <cellStyle name="Normal 4 3 8 2 2" xfId="16134" xr:uid="{6977AFE8-9E60-4F7B-8BF8-4A7FD0254774}"/>
    <cellStyle name="Normal 4 3 8 3" xfId="11917" xr:uid="{2A990858-E4EA-4D24-8291-A1566E76C59A}"/>
    <cellStyle name="Normal 4 3 9" xfId="4743" xr:uid="{00000000-0005-0000-0000-0000BF140000}"/>
    <cellStyle name="Normal 4 3 9 2" xfId="14069" xr:uid="{1FE2FA6E-62F2-4D8C-AB27-7D424EFA5D4F}"/>
    <cellStyle name="Normal 4 4" xfId="378" xr:uid="{00000000-0005-0000-0000-0000C0140000}"/>
    <cellStyle name="Normal 4 4 10" xfId="2534" xr:uid="{00000000-0005-0000-0000-0000C1140000}"/>
    <cellStyle name="Normal 4 4 10 2" xfId="6817" xr:uid="{00000000-0005-0000-0000-0000C2140000}"/>
    <cellStyle name="Normal 4 4 10 2 2" xfId="16143" xr:uid="{ECB17E9F-000D-4021-BC43-F13A2CC1E642}"/>
    <cellStyle name="Normal 4 4 10 3" xfId="11926" xr:uid="{215CA96D-736C-4F13-AFE1-93031AD73B6E}"/>
    <cellStyle name="Normal 4 4 11" xfId="4752" xr:uid="{00000000-0005-0000-0000-0000C3140000}"/>
    <cellStyle name="Normal 4 4 11 2" xfId="14078" xr:uid="{09AE0287-8A6B-4902-9E43-67A533943711}"/>
    <cellStyle name="Normal 4 4 12" xfId="8749" xr:uid="{A91736B6-873D-4B1A-8B29-18DC69E5E65F}"/>
    <cellStyle name="Normal 4 4 13" xfId="9861" xr:uid="{0E8E90B6-4535-4360-8A73-DC15A73C3761}"/>
    <cellStyle name="Normal 4 4 2" xfId="379" xr:uid="{00000000-0005-0000-0000-0000C4140000}"/>
    <cellStyle name="Normal 4 4 2 10" xfId="4753" xr:uid="{00000000-0005-0000-0000-0000C5140000}"/>
    <cellStyle name="Normal 4 4 2 10 2" xfId="14079" xr:uid="{6FF11125-6109-47F8-82AB-39CC49E0FD14}"/>
    <cellStyle name="Normal 4 4 2 11" xfId="8781" xr:uid="{12B8F0AD-1EB8-4D0A-9CAD-21DEEFEDAE41}"/>
    <cellStyle name="Normal 4 4 2 12" xfId="9862" xr:uid="{420BF88B-43DC-453C-A9D8-B3BBAC3DAF63}"/>
    <cellStyle name="Normal 4 4 2 2" xfId="380" xr:uid="{00000000-0005-0000-0000-0000C6140000}"/>
    <cellStyle name="Normal 4 4 2 2 10" xfId="8824" xr:uid="{FF218EA8-00A9-476B-AA88-FBBBBED2D06B}"/>
    <cellStyle name="Normal 4 4 2 2 11" xfId="9863" xr:uid="{F98ABF56-F494-4BDF-9123-2AD58A12CAE4}"/>
    <cellStyle name="Normal 4 4 2 2 2" xfId="381" xr:uid="{00000000-0005-0000-0000-0000C7140000}"/>
    <cellStyle name="Normal 4 4 2 2 2 10" xfId="9864" xr:uid="{9D2ED722-EC64-4734-8D36-DD40F4C297B2}"/>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5EBD9D91-F1B0-4A9F-82D4-A9B075FE8BDA}"/>
    <cellStyle name="Normal 4 4 2 2 2 2 2 2 3" xfId="12423" xr:uid="{CA92E477-8316-41C7-A6B4-B82E28BC5EA5}"/>
    <cellStyle name="Normal 4 4 2 2 2 2 2 3" xfId="5169" xr:uid="{00000000-0005-0000-0000-0000CC140000}"/>
    <cellStyle name="Normal 4 4 2 2 2 2 2 3 2" xfId="14495" xr:uid="{85438F07-1268-4BDC-8B6F-F5041F9F7985}"/>
    <cellStyle name="Normal 4 4 2 2 2 2 2 4" xfId="9559" xr:uid="{6E5E886C-D83F-47E6-AD2B-552CC2A98FD0}"/>
    <cellStyle name="Normal 4 4 2 2 2 2 2 5" xfId="10278" xr:uid="{406A36B0-5400-40D2-8FF2-968BBDE76FE4}"/>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CF8CB6DC-9E9B-4D66-B6A3-B386DDF45C1D}"/>
    <cellStyle name="Normal 4 4 2 2 2 2 3 2 3" xfId="12836" xr:uid="{CEA94676-0FD6-45A3-B744-B776955D3738}"/>
    <cellStyle name="Normal 4 4 2 2 2 2 3 3" xfId="5582" xr:uid="{00000000-0005-0000-0000-0000D0140000}"/>
    <cellStyle name="Normal 4 4 2 2 2 2 3 3 2" xfId="14908" xr:uid="{62628C07-1EA0-4611-8D78-9609512BB622}"/>
    <cellStyle name="Normal 4 4 2 2 2 2 3 4" xfId="10691" xr:uid="{3CD09053-04B3-4BC0-A345-D5EC3101E4D5}"/>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B8A02B08-CA62-4EF7-8B1F-A0610F4F096E}"/>
    <cellStyle name="Normal 4 4 2 2 2 2 4 2 3" xfId="13249" xr:uid="{59A88C0B-E39C-491F-8D17-49883078EC0C}"/>
    <cellStyle name="Normal 4 4 2 2 2 2 4 3" xfId="5995" xr:uid="{00000000-0005-0000-0000-0000D4140000}"/>
    <cellStyle name="Normal 4 4 2 2 2 2 4 3 2" xfId="15321" xr:uid="{AA63F6A7-7D13-4C4A-B9C8-F64B6A3130C2}"/>
    <cellStyle name="Normal 4 4 2 2 2 2 4 4" xfId="11104" xr:uid="{6673DCDD-9EF9-4029-8004-CC9844502FFE}"/>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0C95F42E-9775-4AF9-B882-BBD302C6C692}"/>
    <cellStyle name="Normal 4 4 2 2 2 2 5 2 3" xfId="13662" xr:uid="{0F1DA5A9-BC05-46A8-A549-D79B1CCD5BA8}"/>
    <cellStyle name="Normal 4 4 2 2 2 2 5 3" xfId="6408" xr:uid="{00000000-0005-0000-0000-0000D8140000}"/>
    <cellStyle name="Normal 4 4 2 2 2 2 5 3 2" xfId="15734" xr:uid="{47DE2777-DA5E-4087-B320-8D10B59E4FE3}"/>
    <cellStyle name="Normal 4 4 2 2 2 2 5 4" xfId="11517" xr:uid="{F2B028FA-F341-4B91-9B63-03C77D101A41}"/>
    <cellStyle name="Normal 4 4 2 2 2 2 6" xfId="2538" xr:uid="{00000000-0005-0000-0000-0000D9140000}"/>
    <cellStyle name="Normal 4 4 2 2 2 2 6 2" xfId="6821" xr:uid="{00000000-0005-0000-0000-0000DA140000}"/>
    <cellStyle name="Normal 4 4 2 2 2 2 6 2 2" xfId="16147" xr:uid="{6F650B31-7DA2-4FC0-93C9-777A77D266E2}"/>
    <cellStyle name="Normal 4 4 2 2 2 2 6 3" xfId="11930" xr:uid="{C4E8F834-4C6F-4FC6-A012-16E8415B6237}"/>
    <cellStyle name="Normal 4 4 2 2 2 2 7" xfId="4756" xr:uid="{00000000-0005-0000-0000-0000DB140000}"/>
    <cellStyle name="Normal 4 4 2 2 2 2 7 2" xfId="14082" xr:uid="{7A1A47CA-5F83-4E9B-BA69-68CC7CB92E54}"/>
    <cellStyle name="Normal 4 4 2 2 2 2 8" xfId="9134" xr:uid="{B37D4C66-6754-4A5E-BFF7-77694E4355C2}"/>
    <cellStyle name="Normal 4 4 2 2 2 2 9" xfId="9865" xr:uid="{1A5BAF77-75C9-46EE-9F6C-C339CF5B8B4E}"/>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B724FF4D-CE37-412A-892D-891A24F2D05F}"/>
    <cellStyle name="Normal 4 4 2 2 2 3 2 3" xfId="12422" xr:uid="{A9CF8758-7981-4CDF-9214-9B7AFD9CFEF5}"/>
    <cellStyle name="Normal 4 4 2 2 2 3 3" xfId="5168" xr:uid="{00000000-0005-0000-0000-0000DF140000}"/>
    <cellStyle name="Normal 4 4 2 2 2 3 3 2" xfId="14494" xr:uid="{3677D05E-49AD-4D5C-A11A-89C014BD626F}"/>
    <cellStyle name="Normal 4 4 2 2 2 3 4" xfId="9352" xr:uid="{76F31DA2-44D0-447F-BA9C-6271BA6AAE96}"/>
    <cellStyle name="Normal 4 4 2 2 2 3 5" xfId="10277" xr:uid="{D9FEAED9-A37F-4916-82F5-0D1473B4EA54}"/>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0AD6F31F-78C1-48D6-B2B5-C194FE0163C7}"/>
    <cellStyle name="Normal 4 4 2 2 2 4 2 3" xfId="12835" xr:uid="{516F125A-962C-4831-BFD4-4A42B9D3A044}"/>
    <cellStyle name="Normal 4 4 2 2 2 4 3" xfId="5581" xr:uid="{00000000-0005-0000-0000-0000E3140000}"/>
    <cellStyle name="Normal 4 4 2 2 2 4 3 2" xfId="14907" xr:uid="{A17AC00C-6C09-4F7D-BDB6-D826BB2A08AD}"/>
    <cellStyle name="Normal 4 4 2 2 2 4 4" xfId="10690" xr:uid="{AC5E0BB0-F14A-424A-B952-BDD645CC94A4}"/>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2884B837-C3C2-44A4-9160-5CAA7FFC0EF9}"/>
    <cellStyle name="Normal 4 4 2 2 2 5 2 3" xfId="13248" xr:uid="{4B78AAE1-4263-4866-961A-8596438E63C6}"/>
    <cellStyle name="Normal 4 4 2 2 2 5 3" xfId="5994" xr:uid="{00000000-0005-0000-0000-0000E7140000}"/>
    <cellStyle name="Normal 4 4 2 2 2 5 3 2" xfId="15320" xr:uid="{C2035E52-E560-46BF-9B0E-02523F4748EE}"/>
    <cellStyle name="Normal 4 4 2 2 2 5 4" xfId="11103" xr:uid="{21F988D2-AA1D-498D-8BCE-2080157D42F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7BB118E7-87BF-4F21-9739-28EFAE05A852}"/>
    <cellStyle name="Normal 4 4 2 2 2 6 2 3" xfId="13661" xr:uid="{B43E11E1-CC14-431B-82F5-5A91811BC44D}"/>
    <cellStyle name="Normal 4 4 2 2 2 6 3" xfId="6407" xr:uid="{00000000-0005-0000-0000-0000EB140000}"/>
    <cellStyle name="Normal 4 4 2 2 2 6 3 2" xfId="15733" xr:uid="{BA3E6A95-6048-42E4-B133-803D458C7A7C}"/>
    <cellStyle name="Normal 4 4 2 2 2 6 4" xfId="11516" xr:uid="{6FB76C8F-3634-44CF-9771-B5B1972CD5D7}"/>
    <cellStyle name="Normal 4 4 2 2 2 7" xfId="2537" xr:uid="{00000000-0005-0000-0000-0000EC140000}"/>
    <cellStyle name="Normal 4 4 2 2 2 7 2" xfId="6820" xr:uid="{00000000-0005-0000-0000-0000ED140000}"/>
    <cellStyle name="Normal 4 4 2 2 2 7 2 2" xfId="16146" xr:uid="{042BF6CB-D2D0-4D6B-A15C-537646609374}"/>
    <cellStyle name="Normal 4 4 2 2 2 7 3" xfId="11929" xr:uid="{6688AD1A-86B0-44A4-ABE6-97221BDA2489}"/>
    <cellStyle name="Normal 4 4 2 2 2 8" xfId="4755" xr:uid="{00000000-0005-0000-0000-0000EE140000}"/>
    <cellStyle name="Normal 4 4 2 2 2 8 2" xfId="14081" xr:uid="{C7449AF8-7887-4432-B05F-9936C2D59E46}"/>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27AD1D71-460A-452C-8A7B-C8E5C4F448DA}"/>
    <cellStyle name="Normal 4 4 2 2 3 2 2 3" xfId="12424" xr:uid="{6C6B5E28-A84F-46B4-84B7-6099A6EAAA1D}"/>
    <cellStyle name="Normal 4 4 2 2 3 2 3" xfId="5170" xr:uid="{00000000-0005-0000-0000-0000F3140000}"/>
    <cellStyle name="Normal 4 4 2 2 3 2 3 2" xfId="14496" xr:uid="{7CD60457-5AE9-4E0C-9445-958FD0893108}"/>
    <cellStyle name="Normal 4 4 2 2 3 2 4" xfId="9456" xr:uid="{7CB0B972-68D8-4A2C-A3A7-1D2BD109E44A}"/>
    <cellStyle name="Normal 4 4 2 2 3 2 5" xfId="10279" xr:uid="{38C8CD58-0475-4580-9EFF-730431CFD235}"/>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9AD0DFE5-6EA6-4D62-A0EE-A26F9E92339C}"/>
    <cellStyle name="Normal 4 4 2 2 3 3 2 3" xfId="12837" xr:uid="{D681DB5D-F66F-48F6-ADA9-F73D6CED8A6B}"/>
    <cellStyle name="Normal 4 4 2 2 3 3 3" xfId="5583" xr:uid="{00000000-0005-0000-0000-0000F7140000}"/>
    <cellStyle name="Normal 4 4 2 2 3 3 3 2" xfId="14909" xr:uid="{78E629C4-DFBB-4F59-841D-E1236399BE46}"/>
    <cellStyle name="Normal 4 4 2 2 3 3 4" xfId="10692" xr:uid="{C74A92F9-49B0-4407-81B8-0E20FE6B3C31}"/>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1E6D9E1E-1A72-46A2-B017-1DB02748BA2B}"/>
    <cellStyle name="Normal 4 4 2 2 3 4 2 3" xfId="13250" xr:uid="{84793C6A-12B8-4A8D-9E08-FE96A70ABDE8}"/>
    <cellStyle name="Normal 4 4 2 2 3 4 3" xfId="5996" xr:uid="{00000000-0005-0000-0000-0000FB140000}"/>
    <cellStyle name="Normal 4 4 2 2 3 4 3 2" xfId="15322" xr:uid="{F5746F9E-9205-40CA-951B-B6901A9197F3}"/>
    <cellStyle name="Normal 4 4 2 2 3 4 4" xfId="11105" xr:uid="{1F2A49EA-E523-4BEE-8A84-45DE2AF0FC19}"/>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E7C79160-2ABF-4D99-8025-0106DE7007FC}"/>
    <cellStyle name="Normal 4 4 2 2 3 5 2 3" xfId="13663" xr:uid="{A146819E-2D19-4122-B399-1463EABD7F0C}"/>
    <cellStyle name="Normal 4 4 2 2 3 5 3" xfId="6409" xr:uid="{00000000-0005-0000-0000-0000FF140000}"/>
    <cellStyle name="Normal 4 4 2 2 3 5 3 2" xfId="15735" xr:uid="{CD146941-C985-4BCA-AF4A-7D9B0B259A2A}"/>
    <cellStyle name="Normal 4 4 2 2 3 5 4" xfId="11518" xr:uid="{1B2DF0FE-B00A-4995-9B68-88FC5CF7C712}"/>
    <cellStyle name="Normal 4 4 2 2 3 6" xfId="2539" xr:uid="{00000000-0005-0000-0000-000000150000}"/>
    <cellStyle name="Normal 4 4 2 2 3 6 2" xfId="6822" xr:uid="{00000000-0005-0000-0000-000001150000}"/>
    <cellStyle name="Normal 4 4 2 2 3 6 2 2" xfId="16148" xr:uid="{AD9248E2-F354-4635-BC7E-F66E1F7B572C}"/>
    <cellStyle name="Normal 4 4 2 2 3 6 3" xfId="11931" xr:uid="{D23CCFBD-4751-4ABD-B551-D169A476B429}"/>
    <cellStyle name="Normal 4 4 2 2 3 7" xfId="4757" xr:uid="{00000000-0005-0000-0000-000002150000}"/>
    <cellStyle name="Normal 4 4 2 2 3 7 2" xfId="14083" xr:uid="{175CD36A-31DC-476D-935B-229E88BD5C1D}"/>
    <cellStyle name="Normal 4 4 2 2 3 8" xfId="9031" xr:uid="{F1B59444-328A-4279-8A0A-A9F7E26061D5}"/>
    <cellStyle name="Normal 4 4 2 2 3 9" xfId="9866" xr:uid="{6C4AE8A0-810F-4E71-A561-9CFF10FE9EF3}"/>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DCC3903A-E517-4EA8-B8FF-74B31F827C78}"/>
    <cellStyle name="Normal 4 4 2 2 4 2 3" xfId="12421" xr:uid="{5FF16C0F-ECEA-489D-81E4-82B290C91539}"/>
    <cellStyle name="Normal 4 4 2 2 4 3" xfId="5167" xr:uid="{00000000-0005-0000-0000-000006150000}"/>
    <cellStyle name="Normal 4 4 2 2 4 3 2" xfId="14493" xr:uid="{62FBE5F1-7BB7-45FB-9580-43433E272964}"/>
    <cellStyle name="Normal 4 4 2 2 4 4" xfId="9249" xr:uid="{7E4CA7C7-738D-4CFA-907A-40590344548A}"/>
    <cellStyle name="Normal 4 4 2 2 4 5" xfId="10276" xr:uid="{88174397-59DA-470C-A46B-E3C3C2006130}"/>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6C440E7C-4657-4EE4-AD1F-FCB1DAE00C2E}"/>
    <cellStyle name="Normal 4 4 2 2 5 2 3" xfId="12834" xr:uid="{5A21CC1D-7169-4AEF-823F-4EC83338DB5B}"/>
    <cellStyle name="Normal 4 4 2 2 5 3" xfId="5580" xr:uid="{00000000-0005-0000-0000-00000A150000}"/>
    <cellStyle name="Normal 4 4 2 2 5 3 2" xfId="14906" xr:uid="{4E937164-B014-4DBE-BC99-A99578FBF3A0}"/>
    <cellStyle name="Normal 4 4 2 2 5 4" xfId="10689" xr:uid="{45FBE237-19D5-4300-B50A-B83480F28972}"/>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C8A73829-022C-43B0-BBC9-4AC9ADD7AE26}"/>
    <cellStyle name="Normal 4 4 2 2 6 2 3" xfId="13247" xr:uid="{A1A4FA3B-638C-4266-88E2-3876E22AD1E7}"/>
    <cellStyle name="Normal 4 4 2 2 6 3" xfId="5993" xr:uid="{00000000-0005-0000-0000-00000E150000}"/>
    <cellStyle name="Normal 4 4 2 2 6 3 2" xfId="15319" xr:uid="{A6AC383F-D9C8-498C-BEA9-4FC2D9DEF5FB}"/>
    <cellStyle name="Normal 4 4 2 2 6 4" xfId="11102" xr:uid="{D6E9F7E9-4D91-4249-B3FD-729A06BF928F}"/>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D351C7E4-0DEC-4B1A-97DD-6B1505926C7B}"/>
    <cellStyle name="Normal 4 4 2 2 7 2 3" xfId="13660" xr:uid="{7F763DC9-EC64-415D-A9A4-31CFF7F9C225}"/>
    <cellStyle name="Normal 4 4 2 2 7 3" xfId="6406" xr:uid="{00000000-0005-0000-0000-000012150000}"/>
    <cellStyle name="Normal 4 4 2 2 7 3 2" xfId="15732" xr:uid="{51C527B3-555C-4EFC-B6CC-4AF58A032EFA}"/>
    <cellStyle name="Normal 4 4 2 2 7 4" xfId="11515" xr:uid="{9E73FA01-4DE6-4E1A-B4D2-CA2F104D51EC}"/>
    <cellStyle name="Normal 4 4 2 2 8" xfId="2536" xr:uid="{00000000-0005-0000-0000-000013150000}"/>
    <cellStyle name="Normal 4 4 2 2 8 2" xfId="6819" xr:uid="{00000000-0005-0000-0000-000014150000}"/>
    <cellStyle name="Normal 4 4 2 2 8 2 2" xfId="16145" xr:uid="{7017773A-501A-4825-A100-39AB19060C58}"/>
    <cellStyle name="Normal 4 4 2 2 8 3" xfId="11928" xr:uid="{68FF9B42-F2A2-4C18-BDD3-387CD480DEB4}"/>
    <cellStyle name="Normal 4 4 2 2 9" xfId="4754" xr:uid="{00000000-0005-0000-0000-000015150000}"/>
    <cellStyle name="Normal 4 4 2 2 9 2" xfId="14080" xr:uid="{61B56253-95A6-451C-BC36-34C32C75472B}"/>
    <cellStyle name="Normal 4 4 2 3" xfId="384" xr:uid="{00000000-0005-0000-0000-000016150000}"/>
    <cellStyle name="Normal 4 4 2 3 10" xfId="9867" xr:uid="{3D809E17-1F61-4ADB-84F6-A7F8CEF9E31F}"/>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06553E6D-3490-43A8-B633-353C536CE3F7}"/>
    <cellStyle name="Normal 4 4 2 3 2 2 2 3" xfId="12426" xr:uid="{11138DA8-7374-4A23-8265-58E0231ADE6F}"/>
    <cellStyle name="Normal 4 4 2 3 2 2 3" xfId="5172" xr:uid="{00000000-0005-0000-0000-00001B150000}"/>
    <cellStyle name="Normal 4 4 2 3 2 2 3 2" xfId="14498" xr:uid="{949FBF0D-6C6E-49E8-8968-CBD5A3FB0944}"/>
    <cellStyle name="Normal 4 4 2 3 2 2 4" xfId="9516" xr:uid="{93008D3B-5827-4778-B167-5B518B5BF56F}"/>
    <cellStyle name="Normal 4 4 2 3 2 2 5" xfId="10281" xr:uid="{24B03FE3-443B-433C-B493-5AD0BD9F46D9}"/>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7ED5D3DD-00BD-4FE4-A76A-EE526B4650D5}"/>
    <cellStyle name="Normal 4 4 2 3 2 3 2 3" xfId="12839" xr:uid="{1721876D-9780-4C3C-97F8-043EC7CC80CA}"/>
    <cellStyle name="Normal 4 4 2 3 2 3 3" xfId="5585" xr:uid="{00000000-0005-0000-0000-00001F150000}"/>
    <cellStyle name="Normal 4 4 2 3 2 3 3 2" xfId="14911" xr:uid="{A185DDAD-2CA5-4DCC-A27F-E7735DB43A76}"/>
    <cellStyle name="Normal 4 4 2 3 2 3 4" xfId="10694" xr:uid="{2381E94D-5066-416D-AB87-C321DAA3F17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28BD70B9-2437-4EE2-8BD4-73B205701CF1}"/>
    <cellStyle name="Normal 4 4 2 3 2 4 2 3" xfId="13252" xr:uid="{88A4AC15-3738-4145-B033-5F6669BDE445}"/>
    <cellStyle name="Normal 4 4 2 3 2 4 3" xfId="5998" xr:uid="{00000000-0005-0000-0000-000023150000}"/>
    <cellStyle name="Normal 4 4 2 3 2 4 3 2" xfId="15324" xr:uid="{33C6A220-342D-4C4A-9D8E-71724696C5F8}"/>
    <cellStyle name="Normal 4 4 2 3 2 4 4" xfId="11107" xr:uid="{F27AF540-FF8F-4F72-9ECA-5CD0A9917E96}"/>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28C31CCA-D3CB-474E-B746-8C7EDF674C03}"/>
    <cellStyle name="Normal 4 4 2 3 2 5 2 3" xfId="13665" xr:uid="{53B2330C-054E-4A46-AD61-9574CA99ECA8}"/>
    <cellStyle name="Normal 4 4 2 3 2 5 3" xfId="6411" xr:uid="{00000000-0005-0000-0000-000027150000}"/>
    <cellStyle name="Normal 4 4 2 3 2 5 3 2" xfId="15737" xr:uid="{C0E790A1-7A02-4554-ADD7-9A6A997D4230}"/>
    <cellStyle name="Normal 4 4 2 3 2 5 4" xfId="11520" xr:uid="{5271EE2B-E1ED-40B6-A836-38ADEE6D4228}"/>
    <cellStyle name="Normal 4 4 2 3 2 6" xfId="2541" xr:uid="{00000000-0005-0000-0000-000028150000}"/>
    <cellStyle name="Normal 4 4 2 3 2 6 2" xfId="6824" xr:uid="{00000000-0005-0000-0000-000029150000}"/>
    <cellStyle name="Normal 4 4 2 3 2 6 2 2" xfId="16150" xr:uid="{5CA0DD2F-05C7-40E5-ABB6-82F71875D114}"/>
    <cellStyle name="Normal 4 4 2 3 2 6 3" xfId="11933" xr:uid="{C1D1FB91-BE05-410F-9085-86613606C6EE}"/>
    <cellStyle name="Normal 4 4 2 3 2 7" xfId="4759" xr:uid="{00000000-0005-0000-0000-00002A150000}"/>
    <cellStyle name="Normal 4 4 2 3 2 7 2" xfId="14085" xr:uid="{49D84A25-B35B-4D47-A43D-E360FB104EC5}"/>
    <cellStyle name="Normal 4 4 2 3 2 8" xfId="9091" xr:uid="{9DBAED0A-05EE-4674-B1B7-8D03DBB53301}"/>
    <cellStyle name="Normal 4 4 2 3 2 9" xfId="9868" xr:uid="{BF3D4945-B91C-4972-B8C2-6EBF2200A4ED}"/>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5825BAD0-87F6-498F-808A-CAD5E96CA182}"/>
    <cellStyle name="Normal 4 4 2 3 3 2 3" xfId="12425" xr:uid="{6FF68AE9-4B26-486E-B76A-6B4E4EA111CC}"/>
    <cellStyle name="Normal 4 4 2 3 3 3" xfId="5171" xr:uid="{00000000-0005-0000-0000-00002E150000}"/>
    <cellStyle name="Normal 4 4 2 3 3 3 2" xfId="14497" xr:uid="{A4F9396A-E242-498C-97C1-0F202CA263D3}"/>
    <cellStyle name="Normal 4 4 2 3 3 4" xfId="9309" xr:uid="{73E912F6-92AF-449E-AE53-1DEDEF686C0F}"/>
    <cellStyle name="Normal 4 4 2 3 3 5" xfId="10280" xr:uid="{F6BC7879-5879-4120-A547-7EBC56309C07}"/>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6D2007F6-1083-4B78-AC05-A40E188147B1}"/>
    <cellStyle name="Normal 4 4 2 3 4 2 3" xfId="12838" xr:uid="{7E64979F-9C99-43EB-B42A-9EB55B89F545}"/>
    <cellStyle name="Normal 4 4 2 3 4 3" xfId="5584" xr:uid="{00000000-0005-0000-0000-000032150000}"/>
    <cellStyle name="Normal 4 4 2 3 4 3 2" xfId="14910" xr:uid="{A1264174-FC16-4C14-A296-1B0CEFDF8017}"/>
    <cellStyle name="Normal 4 4 2 3 4 4" xfId="10693" xr:uid="{BF7ACC14-3944-4CE3-88C0-ED4EE1ABB877}"/>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F16863F6-B582-48D4-894A-3B51FB563E9A}"/>
    <cellStyle name="Normal 4 4 2 3 5 2 3" xfId="13251" xr:uid="{FFF8E74A-ED25-418F-8CB8-96D7669A6D72}"/>
    <cellStyle name="Normal 4 4 2 3 5 3" xfId="5997" xr:uid="{00000000-0005-0000-0000-000036150000}"/>
    <cellStyle name="Normal 4 4 2 3 5 3 2" xfId="15323" xr:uid="{CA729B89-7CFE-4381-B68F-01F8A9E97E05}"/>
    <cellStyle name="Normal 4 4 2 3 5 4" xfId="11106" xr:uid="{F4022CA2-992C-4FC3-B49F-FCB21F0271D3}"/>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92D63556-E889-47C1-AC74-8430AFA6DD85}"/>
    <cellStyle name="Normal 4 4 2 3 6 2 3" xfId="13664" xr:uid="{B6A00562-3301-449D-9407-FA65E3792A33}"/>
    <cellStyle name="Normal 4 4 2 3 6 3" xfId="6410" xr:uid="{00000000-0005-0000-0000-00003A150000}"/>
    <cellStyle name="Normal 4 4 2 3 6 3 2" xfId="15736" xr:uid="{FBA6C5F1-C326-4379-A9B3-25522350047E}"/>
    <cellStyle name="Normal 4 4 2 3 6 4" xfId="11519" xr:uid="{4EEC8944-6613-4C24-8B3C-B8099439454B}"/>
    <cellStyle name="Normal 4 4 2 3 7" xfId="2540" xr:uid="{00000000-0005-0000-0000-00003B150000}"/>
    <cellStyle name="Normal 4 4 2 3 7 2" xfId="6823" xr:uid="{00000000-0005-0000-0000-00003C150000}"/>
    <cellStyle name="Normal 4 4 2 3 7 2 2" xfId="16149" xr:uid="{B0FA7990-3E6C-415C-9AA5-D9C06BE9C76E}"/>
    <cellStyle name="Normal 4 4 2 3 7 3" xfId="11932" xr:uid="{7F451B5D-EAE1-4506-B4F7-F25E3164C520}"/>
    <cellStyle name="Normal 4 4 2 3 8" xfId="4758" xr:uid="{00000000-0005-0000-0000-00003D150000}"/>
    <cellStyle name="Normal 4 4 2 3 8 2" xfId="14084" xr:uid="{9145B931-C8FB-4A11-9D92-2B7A0A9755CC}"/>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FA0043B2-46E2-461C-BEAE-AB311863E0AF}"/>
    <cellStyle name="Normal 4 4 2 4 2 2 3" xfId="12427" xr:uid="{91A71A80-2D75-486C-84AF-9D0D65A7E341}"/>
    <cellStyle name="Normal 4 4 2 4 2 3" xfId="5173" xr:uid="{00000000-0005-0000-0000-000042150000}"/>
    <cellStyle name="Normal 4 4 2 4 2 3 2" xfId="14499" xr:uid="{37F9D10E-BFA9-489C-8DCD-EF3A765778DA}"/>
    <cellStyle name="Normal 4 4 2 4 2 4" xfId="9413" xr:uid="{4DC092EA-7C69-4E02-9FE8-33F62D070F54}"/>
    <cellStyle name="Normal 4 4 2 4 2 5" xfId="10282" xr:uid="{A7C045BC-1F83-4B15-AEE1-5E02C04C6DDD}"/>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B6364C69-0E75-4B51-9C4A-D5B8374AFF70}"/>
    <cellStyle name="Normal 4 4 2 4 3 2 3" xfId="12840" xr:uid="{13DD1B9F-7D1E-43C1-8772-6A2CA7C9A4AE}"/>
    <cellStyle name="Normal 4 4 2 4 3 3" xfId="5586" xr:uid="{00000000-0005-0000-0000-000046150000}"/>
    <cellStyle name="Normal 4 4 2 4 3 3 2" xfId="14912" xr:uid="{DAF6177B-2096-4EA7-88AD-980C6CE2C736}"/>
    <cellStyle name="Normal 4 4 2 4 3 4" xfId="10695" xr:uid="{195FEE08-5023-4E38-A867-AD7E3CE70376}"/>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4A8761F6-9265-4D44-81B6-F8D347E0ACD4}"/>
    <cellStyle name="Normal 4 4 2 4 4 2 3" xfId="13253" xr:uid="{E1C3B407-6BCA-450A-A0E9-FF7BBC83C820}"/>
    <cellStyle name="Normal 4 4 2 4 4 3" xfId="5999" xr:uid="{00000000-0005-0000-0000-00004A150000}"/>
    <cellStyle name="Normal 4 4 2 4 4 3 2" xfId="15325" xr:uid="{DE9A31D5-1DDA-40B2-87C2-73D3172E02B4}"/>
    <cellStyle name="Normal 4 4 2 4 4 4" xfId="11108" xr:uid="{A00988C8-9418-4F3F-AB0A-30C066166FC7}"/>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32CF9585-1CAB-42C2-BAF1-8568CC4D97EB}"/>
    <cellStyle name="Normal 4 4 2 4 5 2 3" xfId="13666" xr:uid="{891CB6C9-F92B-4FB8-B09B-6D7A9D4D1AF4}"/>
    <cellStyle name="Normal 4 4 2 4 5 3" xfId="6412" xr:uid="{00000000-0005-0000-0000-00004E150000}"/>
    <cellStyle name="Normal 4 4 2 4 5 3 2" xfId="15738" xr:uid="{4AB81FBF-A764-47FF-A24C-DAFF74081073}"/>
    <cellStyle name="Normal 4 4 2 4 5 4" xfId="11521" xr:uid="{245F2142-8A57-4F5E-B41B-6C7D29356720}"/>
    <cellStyle name="Normal 4 4 2 4 6" xfId="2542" xr:uid="{00000000-0005-0000-0000-00004F150000}"/>
    <cellStyle name="Normal 4 4 2 4 6 2" xfId="6825" xr:uid="{00000000-0005-0000-0000-000050150000}"/>
    <cellStyle name="Normal 4 4 2 4 6 2 2" xfId="16151" xr:uid="{2C84C986-8B5A-4CDF-83BC-51F022ED125F}"/>
    <cellStyle name="Normal 4 4 2 4 6 3" xfId="11934" xr:uid="{438CBA4D-BBBE-4AD9-B80E-763CF92EF770}"/>
    <cellStyle name="Normal 4 4 2 4 7" xfId="4760" xr:uid="{00000000-0005-0000-0000-000051150000}"/>
    <cellStyle name="Normal 4 4 2 4 7 2" xfId="14086" xr:uid="{A3A64287-B23C-4862-94A3-62E81A3BBFE6}"/>
    <cellStyle name="Normal 4 4 2 4 8" xfId="8988" xr:uid="{F852E7B0-7ACD-4401-B3B6-BE989A5C8AD5}"/>
    <cellStyle name="Normal 4 4 2 4 9" xfId="9869" xr:uid="{8B4FE85E-1398-4F2C-80B6-E40B1FA4BEC7}"/>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5E764E74-18CD-4C97-B591-511965535F21}"/>
    <cellStyle name="Normal 4 4 2 5 2 3" xfId="12420" xr:uid="{3843D5C2-5502-4416-B3BD-2D577BA4C3C5}"/>
    <cellStyle name="Normal 4 4 2 5 3" xfId="5166" xr:uid="{00000000-0005-0000-0000-000055150000}"/>
    <cellStyle name="Normal 4 4 2 5 3 2" xfId="14492" xr:uid="{22EE589E-D71F-4224-AEDA-F9DE480EC8A8}"/>
    <cellStyle name="Normal 4 4 2 5 4" xfId="9205" xr:uid="{A63DE01D-3EC8-40FC-A47E-E0EA001EED52}"/>
    <cellStyle name="Normal 4 4 2 5 5" xfId="10275" xr:uid="{A72F3DDC-C87D-419A-85CE-CAC12CB85A66}"/>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BEE6B3F7-2E99-4B1D-9546-7E30565191BF}"/>
    <cellStyle name="Normal 4 4 2 6 2 3" xfId="12833" xr:uid="{B37EBCC0-663E-4358-A4E2-6865607169AB}"/>
    <cellStyle name="Normal 4 4 2 6 3" xfId="5579" xr:uid="{00000000-0005-0000-0000-000059150000}"/>
    <cellStyle name="Normal 4 4 2 6 3 2" xfId="14905" xr:uid="{247C57CB-6C81-4469-8DA7-12809017C000}"/>
    <cellStyle name="Normal 4 4 2 6 4" xfId="10688" xr:uid="{ED267566-DB71-4BD7-A187-592296A640B5}"/>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B906257D-D1C3-49E5-9292-B94BBD8AC977}"/>
    <cellStyle name="Normal 4 4 2 7 2 3" xfId="13246" xr:uid="{94BB7C25-48F0-42FF-B0F4-93962580B1D8}"/>
    <cellStyle name="Normal 4 4 2 7 3" xfId="5992" xr:uid="{00000000-0005-0000-0000-00005D150000}"/>
    <cellStyle name="Normal 4 4 2 7 3 2" xfId="15318" xr:uid="{DEBA78AB-389E-4A87-844B-218309692150}"/>
    <cellStyle name="Normal 4 4 2 7 4" xfId="11101" xr:uid="{CD91C75C-463A-4596-9F17-B4CD838737D1}"/>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1786CD41-88ED-465C-9A27-0423BEEC481C}"/>
    <cellStyle name="Normal 4 4 2 8 2 3" xfId="13659" xr:uid="{5784B197-0775-4371-8537-E136A2D12FAA}"/>
    <cellStyle name="Normal 4 4 2 8 3" xfId="6405" xr:uid="{00000000-0005-0000-0000-000061150000}"/>
    <cellStyle name="Normal 4 4 2 8 3 2" xfId="15731" xr:uid="{983926FA-E94F-47AC-BA7E-1EBE716D137C}"/>
    <cellStyle name="Normal 4 4 2 8 4" xfId="11514" xr:uid="{DB13392A-47B1-409E-B7C0-F8A2FC04A0E4}"/>
    <cellStyle name="Normal 4 4 2 9" xfId="2535" xr:uid="{00000000-0005-0000-0000-000062150000}"/>
    <cellStyle name="Normal 4 4 2 9 2" xfId="6818" xr:uid="{00000000-0005-0000-0000-000063150000}"/>
    <cellStyle name="Normal 4 4 2 9 2 2" xfId="16144" xr:uid="{4A52EFCF-1130-4CB9-94D2-3FB24D86CEF4}"/>
    <cellStyle name="Normal 4 4 2 9 3" xfId="11927" xr:uid="{11E8DF6A-08F5-4576-AC96-1059C8D71026}"/>
    <cellStyle name="Normal 4 4 3" xfId="387" xr:uid="{00000000-0005-0000-0000-000064150000}"/>
    <cellStyle name="Normal 4 4 3 10" xfId="8823" xr:uid="{E623F102-F69B-4FD0-BEDA-A1480AF4D892}"/>
    <cellStyle name="Normal 4 4 3 11" xfId="9870" xr:uid="{8F6DCE7B-EB0D-4E3B-B4DC-945D6E2E3BDE}"/>
    <cellStyle name="Normal 4 4 3 2" xfId="388" xr:uid="{00000000-0005-0000-0000-000065150000}"/>
    <cellStyle name="Normal 4 4 3 2 10" xfId="9871" xr:uid="{37F94AA6-642F-4B59-9837-38E050391BE1}"/>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80749049-6DFA-43B2-BAC0-C19299702C0A}"/>
    <cellStyle name="Normal 4 4 3 2 2 2 2 3" xfId="12430" xr:uid="{95B27708-472A-4AFC-8A5C-E4693C990B79}"/>
    <cellStyle name="Normal 4 4 3 2 2 2 3" xfId="5176" xr:uid="{00000000-0005-0000-0000-00006A150000}"/>
    <cellStyle name="Normal 4 4 3 2 2 2 3 2" xfId="14502" xr:uid="{71D1C29D-2381-485A-88F9-61A0B2FCBC5D}"/>
    <cellStyle name="Normal 4 4 3 2 2 2 4" xfId="9558" xr:uid="{8C9519E6-5920-473D-9749-EC61E4877632}"/>
    <cellStyle name="Normal 4 4 3 2 2 2 5" xfId="10285" xr:uid="{A8957459-B7F2-4CF0-A0EE-E32EE5774A97}"/>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27A2B231-96CB-48C9-B17F-F5869734D6C1}"/>
    <cellStyle name="Normal 4 4 3 2 2 3 2 3" xfId="12843" xr:uid="{FD655B04-9EF3-4928-919C-C89C208944BC}"/>
    <cellStyle name="Normal 4 4 3 2 2 3 3" xfId="5589" xr:uid="{00000000-0005-0000-0000-00006E150000}"/>
    <cellStyle name="Normal 4 4 3 2 2 3 3 2" xfId="14915" xr:uid="{55D0A7C9-A1EB-4924-907D-CB6D642BB301}"/>
    <cellStyle name="Normal 4 4 3 2 2 3 4" xfId="10698" xr:uid="{7091EB97-33F1-4865-B161-825CC4586101}"/>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BA418418-3E9E-426A-BA9F-742646742F4C}"/>
    <cellStyle name="Normal 4 4 3 2 2 4 2 3" xfId="13256" xr:uid="{2F27A7FC-13A8-473B-A2C6-7DC955336768}"/>
    <cellStyle name="Normal 4 4 3 2 2 4 3" xfId="6002" xr:uid="{00000000-0005-0000-0000-000072150000}"/>
    <cellStyle name="Normal 4 4 3 2 2 4 3 2" xfId="15328" xr:uid="{18AEF7B5-64D3-4C69-BD39-7852E26370B9}"/>
    <cellStyle name="Normal 4 4 3 2 2 4 4" xfId="11111" xr:uid="{35041B17-4A9D-4BF0-8394-E01D8F9DF1FD}"/>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69C04EAA-6C8F-4A67-A9A6-17E3B372459B}"/>
    <cellStyle name="Normal 4 4 3 2 2 5 2 3" xfId="13669" xr:uid="{DE9CA34A-4EFE-4865-A28A-9E79DA4F1AE1}"/>
    <cellStyle name="Normal 4 4 3 2 2 5 3" xfId="6415" xr:uid="{00000000-0005-0000-0000-000076150000}"/>
    <cellStyle name="Normal 4 4 3 2 2 5 3 2" xfId="15741" xr:uid="{60880CCA-CAAC-4028-9577-69BF003D4B71}"/>
    <cellStyle name="Normal 4 4 3 2 2 5 4" xfId="11524" xr:uid="{94282B38-6D33-455E-B3D2-CFBEB96FF7F6}"/>
    <cellStyle name="Normal 4 4 3 2 2 6" xfId="2545" xr:uid="{00000000-0005-0000-0000-000077150000}"/>
    <cellStyle name="Normal 4 4 3 2 2 6 2" xfId="6828" xr:uid="{00000000-0005-0000-0000-000078150000}"/>
    <cellStyle name="Normal 4 4 3 2 2 6 2 2" xfId="16154" xr:uid="{ABACB84D-5888-433D-9C3D-D4CD66C36215}"/>
    <cellStyle name="Normal 4 4 3 2 2 6 3" xfId="11937" xr:uid="{DE7C6070-6CFE-426D-8E3D-59C001983D84}"/>
    <cellStyle name="Normal 4 4 3 2 2 7" xfId="4763" xr:uid="{00000000-0005-0000-0000-000079150000}"/>
    <cellStyle name="Normal 4 4 3 2 2 7 2" xfId="14089" xr:uid="{C61BBB27-2DBA-4C4F-8991-8BFFE37C00C4}"/>
    <cellStyle name="Normal 4 4 3 2 2 8" xfId="9133" xr:uid="{37002A66-D58A-4EF9-8D22-8F1A3EE99E08}"/>
    <cellStyle name="Normal 4 4 3 2 2 9" xfId="9872" xr:uid="{C1902A5E-DA39-46F2-AD91-F34A4C4A8F21}"/>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CBB242B2-6569-4146-91E5-0C5951132690}"/>
    <cellStyle name="Normal 4 4 3 2 3 2 3" xfId="12429" xr:uid="{2C9AFBE3-3D7C-4708-917E-763B9407006B}"/>
    <cellStyle name="Normal 4 4 3 2 3 3" xfId="5175" xr:uid="{00000000-0005-0000-0000-00007D150000}"/>
    <cellStyle name="Normal 4 4 3 2 3 3 2" xfId="14501" xr:uid="{E96C1528-C47C-4E7B-9997-B4749B439B05}"/>
    <cellStyle name="Normal 4 4 3 2 3 4" xfId="9351" xr:uid="{51AD2B95-755A-411D-AA40-98381F5D8294}"/>
    <cellStyle name="Normal 4 4 3 2 3 5" xfId="10284" xr:uid="{0D5F80E0-5D76-4189-87E6-03CB69366FB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9C41550D-9E26-4E50-AA48-0E78F46FFB85}"/>
    <cellStyle name="Normal 4 4 3 2 4 2 3" xfId="12842" xr:uid="{48003D31-6EC7-468D-84B5-D9A99B6EC148}"/>
    <cellStyle name="Normal 4 4 3 2 4 3" xfId="5588" xr:uid="{00000000-0005-0000-0000-000081150000}"/>
    <cellStyle name="Normal 4 4 3 2 4 3 2" xfId="14914" xr:uid="{799C1D58-FDCC-4FE8-B458-DE4196CB6D4E}"/>
    <cellStyle name="Normal 4 4 3 2 4 4" xfId="10697" xr:uid="{F328F6AF-4D31-4672-88D8-E74EEEC846A8}"/>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D7CF6096-ADDB-43ED-BA73-A480915E510F}"/>
    <cellStyle name="Normal 4 4 3 2 5 2 3" xfId="13255" xr:uid="{D6883887-987A-4015-A5F4-B470F99AE915}"/>
    <cellStyle name="Normal 4 4 3 2 5 3" xfId="6001" xr:uid="{00000000-0005-0000-0000-000085150000}"/>
    <cellStyle name="Normal 4 4 3 2 5 3 2" xfId="15327" xr:uid="{96E7A026-AEE9-4F5D-A0A8-D2CF50C9616F}"/>
    <cellStyle name="Normal 4 4 3 2 5 4" xfId="11110" xr:uid="{5BBE3EA0-8C8F-4A70-A382-3311E1F50D16}"/>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8AEE8A61-299B-4A6A-90E1-98CCBC049B8E}"/>
    <cellStyle name="Normal 4 4 3 2 6 2 3" xfId="13668" xr:uid="{05586DE3-493F-4A23-A0E7-0F587CE8DF0F}"/>
    <cellStyle name="Normal 4 4 3 2 6 3" xfId="6414" xr:uid="{00000000-0005-0000-0000-000089150000}"/>
    <cellStyle name="Normal 4 4 3 2 6 3 2" xfId="15740" xr:uid="{7D19E2FB-ABBE-48D4-8297-D608F39FC0C7}"/>
    <cellStyle name="Normal 4 4 3 2 6 4" xfId="11523" xr:uid="{6EDE5C48-5685-4E86-B8BD-A93741564905}"/>
    <cellStyle name="Normal 4 4 3 2 7" xfId="2544" xr:uid="{00000000-0005-0000-0000-00008A150000}"/>
    <cellStyle name="Normal 4 4 3 2 7 2" xfId="6827" xr:uid="{00000000-0005-0000-0000-00008B150000}"/>
    <cellStyle name="Normal 4 4 3 2 7 2 2" xfId="16153" xr:uid="{3D9761F7-9EA5-409E-841E-A24C4C39F907}"/>
    <cellStyle name="Normal 4 4 3 2 7 3" xfId="11936" xr:uid="{F7EF6E08-62C6-480F-9EC0-78392E65E190}"/>
    <cellStyle name="Normal 4 4 3 2 8" xfId="4762" xr:uid="{00000000-0005-0000-0000-00008C150000}"/>
    <cellStyle name="Normal 4 4 3 2 8 2" xfId="14088" xr:uid="{E01DC76C-2E24-41F5-A767-BAF9E029DA5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49F8182B-212F-478F-8245-AD746098DDC4}"/>
    <cellStyle name="Normal 4 4 3 3 2 2 3" xfId="12431" xr:uid="{A42EA256-3939-40B9-9644-18C7E046DE77}"/>
    <cellStyle name="Normal 4 4 3 3 2 3" xfId="5177" xr:uid="{00000000-0005-0000-0000-000091150000}"/>
    <cellStyle name="Normal 4 4 3 3 2 3 2" xfId="14503" xr:uid="{743CD93F-F455-4C33-A1FE-FE83A535F9F6}"/>
    <cellStyle name="Normal 4 4 3 3 2 4" xfId="9455" xr:uid="{E39EB3A2-D99A-426C-AFEC-E4C90C85BE02}"/>
    <cellStyle name="Normal 4 4 3 3 2 5" xfId="10286" xr:uid="{CF5D511B-1E03-47F7-A2B8-41A44D21A1B3}"/>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D78973FC-F441-4E54-B407-A1BE0FFD7A52}"/>
    <cellStyle name="Normal 4 4 3 3 3 2 3" xfId="12844" xr:uid="{A6BD0282-4A14-4B2D-9855-3F9B843E7351}"/>
    <cellStyle name="Normal 4 4 3 3 3 3" xfId="5590" xr:uid="{00000000-0005-0000-0000-000095150000}"/>
    <cellStyle name="Normal 4 4 3 3 3 3 2" xfId="14916" xr:uid="{CFD9419F-7291-4A55-AC78-86E37A9767FA}"/>
    <cellStyle name="Normal 4 4 3 3 3 4" xfId="10699" xr:uid="{A1B2407D-0844-4B1B-94EA-9AF4AD2740B1}"/>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A42311E9-3818-4072-8065-5E4E4A9B39EF}"/>
    <cellStyle name="Normal 4 4 3 3 4 2 3" xfId="13257" xr:uid="{F764BB55-2123-4397-A896-482C8DF35015}"/>
    <cellStyle name="Normal 4 4 3 3 4 3" xfId="6003" xr:uid="{00000000-0005-0000-0000-000099150000}"/>
    <cellStyle name="Normal 4 4 3 3 4 3 2" xfId="15329" xr:uid="{E9DF3349-E5B5-4901-8ABE-3967C0854D02}"/>
    <cellStyle name="Normal 4 4 3 3 4 4" xfId="11112" xr:uid="{68C2AC91-63CE-4978-953D-82D0506F388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FAD51423-5455-4301-92CC-9E6E45CAB101}"/>
    <cellStyle name="Normal 4 4 3 3 5 2 3" xfId="13670" xr:uid="{737EE42E-EA07-421B-B9A9-8996C390D2A2}"/>
    <cellStyle name="Normal 4 4 3 3 5 3" xfId="6416" xr:uid="{00000000-0005-0000-0000-00009D150000}"/>
    <cellStyle name="Normal 4 4 3 3 5 3 2" xfId="15742" xr:uid="{58FB8F19-B748-482B-8BF1-A86D8096AA33}"/>
    <cellStyle name="Normal 4 4 3 3 5 4" xfId="11525" xr:uid="{5DA763C5-8F9F-45BA-8E08-6433EA5D4B13}"/>
    <cellStyle name="Normal 4 4 3 3 6" xfId="2546" xr:uid="{00000000-0005-0000-0000-00009E150000}"/>
    <cellStyle name="Normal 4 4 3 3 6 2" xfId="6829" xr:uid="{00000000-0005-0000-0000-00009F150000}"/>
    <cellStyle name="Normal 4 4 3 3 6 2 2" xfId="16155" xr:uid="{E7593A2F-8D23-42A7-B18C-E906C99699E7}"/>
    <cellStyle name="Normal 4 4 3 3 6 3" xfId="11938" xr:uid="{18643BFA-4953-4FF4-9A8C-1CE858DEB55E}"/>
    <cellStyle name="Normal 4 4 3 3 7" xfId="4764" xr:uid="{00000000-0005-0000-0000-0000A0150000}"/>
    <cellStyle name="Normal 4 4 3 3 7 2" xfId="14090" xr:uid="{5F4C16C1-5412-4E50-A29E-CD3BFEA9807F}"/>
    <cellStyle name="Normal 4 4 3 3 8" xfId="9030" xr:uid="{F975DAAD-4546-4770-9976-5C5C66DA227B}"/>
    <cellStyle name="Normal 4 4 3 3 9" xfId="9873" xr:uid="{2F974F27-DE9E-4F70-958E-E6E6B0589765}"/>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D4323F75-98D9-4874-B2EB-4CC191C6375C}"/>
    <cellStyle name="Normal 4 4 3 4 2 3" xfId="12428" xr:uid="{0AF5979C-0481-4874-9745-B20EB9840A83}"/>
    <cellStyle name="Normal 4 4 3 4 3" xfId="5174" xr:uid="{00000000-0005-0000-0000-0000A4150000}"/>
    <cellStyle name="Normal 4 4 3 4 3 2" xfId="14500" xr:uid="{EF27835C-7B72-4678-9A6A-B5A91821C392}"/>
    <cellStyle name="Normal 4 4 3 4 4" xfId="9248" xr:uid="{6C5F877B-48E6-47C2-B849-E53F373D5A86}"/>
    <cellStyle name="Normal 4 4 3 4 5" xfId="10283" xr:uid="{8AA4BF5B-DDAC-4B4D-9828-005BA34A27DB}"/>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DBCF946F-C10E-4BB4-AF82-3F90A3082B26}"/>
    <cellStyle name="Normal 4 4 3 5 2 3" xfId="12841" xr:uid="{43EE4825-C3E0-417C-8FB1-5D373F88D871}"/>
    <cellStyle name="Normal 4 4 3 5 3" xfId="5587" xr:uid="{00000000-0005-0000-0000-0000A8150000}"/>
    <cellStyle name="Normal 4 4 3 5 3 2" xfId="14913" xr:uid="{CDDB5415-2B32-4B1C-A56D-B03FD2D9FBAD}"/>
    <cellStyle name="Normal 4 4 3 5 4" xfId="10696" xr:uid="{6861AE17-1C00-48DB-8972-0CDCD3EED04B}"/>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26A7519D-4E3A-4A0E-81A9-C81AF5C4CA6A}"/>
    <cellStyle name="Normal 4 4 3 6 2 3" xfId="13254" xr:uid="{F06EFA33-A7E9-41F4-8933-B971E31EEACA}"/>
    <cellStyle name="Normal 4 4 3 6 3" xfId="6000" xr:uid="{00000000-0005-0000-0000-0000AC150000}"/>
    <cellStyle name="Normal 4 4 3 6 3 2" xfId="15326" xr:uid="{C66EED30-DC62-4461-8AFD-DD1DF27FE6BF}"/>
    <cellStyle name="Normal 4 4 3 6 4" xfId="11109" xr:uid="{F958BCFE-D9AD-4189-A545-6E99D58A0838}"/>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10D871A0-048D-4EF2-B953-D6C8BF3DBD92}"/>
    <cellStyle name="Normal 4 4 3 7 2 3" xfId="13667" xr:uid="{DA4C4279-A7E8-4CB8-9AD9-A3AA2D64235F}"/>
    <cellStyle name="Normal 4 4 3 7 3" xfId="6413" xr:uid="{00000000-0005-0000-0000-0000B0150000}"/>
    <cellStyle name="Normal 4 4 3 7 3 2" xfId="15739" xr:uid="{CD6EC620-6029-4FF5-8AE8-B9C19D51E26D}"/>
    <cellStyle name="Normal 4 4 3 7 4" xfId="11522" xr:uid="{00AA6CD6-631A-42D5-96C0-28DEEB9AF52A}"/>
    <cellStyle name="Normal 4 4 3 8" xfId="2543" xr:uid="{00000000-0005-0000-0000-0000B1150000}"/>
    <cellStyle name="Normal 4 4 3 8 2" xfId="6826" xr:uid="{00000000-0005-0000-0000-0000B2150000}"/>
    <cellStyle name="Normal 4 4 3 8 2 2" xfId="16152" xr:uid="{D3512EC7-6096-4983-A65B-EAB364A5BFD3}"/>
    <cellStyle name="Normal 4 4 3 8 3" xfId="11935" xr:uid="{F016B148-7319-4155-BD3E-2F873CA23BFB}"/>
    <cellStyle name="Normal 4 4 3 9" xfId="4761" xr:uid="{00000000-0005-0000-0000-0000B3150000}"/>
    <cellStyle name="Normal 4 4 3 9 2" xfId="14087" xr:uid="{55E8E30A-1AA3-48A8-81FA-D618F7847887}"/>
    <cellStyle name="Normal 4 4 4" xfId="391" xr:uid="{00000000-0005-0000-0000-0000B4150000}"/>
    <cellStyle name="Normal 4 4 4 10" xfId="9874" xr:uid="{03134DAA-5EBC-495D-B125-3D5E12E0625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FB143129-8AEB-4295-BA40-5D5A568F172A}"/>
    <cellStyle name="Normal 4 4 4 2 2 2 3" xfId="12433" xr:uid="{FF22DCB0-9FD2-48B3-9F6B-8E272D570AD1}"/>
    <cellStyle name="Normal 4 4 4 2 2 3" xfId="5179" xr:uid="{00000000-0005-0000-0000-0000B9150000}"/>
    <cellStyle name="Normal 4 4 4 2 2 3 2" xfId="14505" xr:uid="{5532DA3A-1007-457E-9B40-35BD775AD79F}"/>
    <cellStyle name="Normal 4 4 4 2 2 4" xfId="9484" xr:uid="{69910E0C-08C8-41C5-A6FC-61B52F6CD538}"/>
    <cellStyle name="Normal 4 4 4 2 2 5" xfId="10288" xr:uid="{369B634F-FC18-46E3-B802-E70CDA21A821}"/>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327AD962-C64B-4638-B9F3-2D649389458E}"/>
    <cellStyle name="Normal 4 4 4 2 3 2 3" xfId="12846" xr:uid="{FCB489E3-5AA3-4B38-985A-6CE316C94096}"/>
    <cellStyle name="Normal 4 4 4 2 3 3" xfId="5592" xr:uid="{00000000-0005-0000-0000-0000BD150000}"/>
    <cellStyle name="Normal 4 4 4 2 3 3 2" xfId="14918" xr:uid="{0E378915-5C7E-43B6-82B2-A5B1FA9B409E}"/>
    <cellStyle name="Normal 4 4 4 2 3 4" xfId="10701" xr:uid="{0E5C19C1-022B-4674-97F6-19F0BFB4C085}"/>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5DED13A2-A35B-412A-AE47-C560DF804412}"/>
    <cellStyle name="Normal 4 4 4 2 4 2 3" xfId="13259" xr:uid="{4DBAD0CB-B1F7-4CDD-B621-91ADB4A074B1}"/>
    <cellStyle name="Normal 4 4 4 2 4 3" xfId="6005" xr:uid="{00000000-0005-0000-0000-0000C1150000}"/>
    <cellStyle name="Normal 4 4 4 2 4 3 2" xfId="15331" xr:uid="{A02A47B9-2248-4583-B56A-A43DFC7E8A3C}"/>
    <cellStyle name="Normal 4 4 4 2 4 4" xfId="11114" xr:uid="{6B22B480-C59C-4B13-A386-2826669082A5}"/>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595F7A8D-2896-4DFF-881E-A8456EEA6DA6}"/>
    <cellStyle name="Normal 4 4 4 2 5 2 3" xfId="13672" xr:uid="{82D2F0C2-2CB0-401D-9F2A-1FD6910E0E27}"/>
    <cellStyle name="Normal 4 4 4 2 5 3" xfId="6418" xr:uid="{00000000-0005-0000-0000-0000C5150000}"/>
    <cellStyle name="Normal 4 4 4 2 5 3 2" xfId="15744" xr:uid="{28551D41-D158-499B-BCB7-F02911291DCB}"/>
    <cellStyle name="Normal 4 4 4 2 5 4" xfId="11527" xr:uid="{CDC086E3-3802-402B-B475-E5195D312135}"/>
    <cellStyle name="Normal 4 4 4 2 6" xfId="2548" xr:uid="{00000000-0005-0000-0000-0000C6150000}"/>
    <cellStyle name="Normal 4 4 4 2 6 2" xfId="6831" xr:uid="{00000000-0005-0000-0000-0000C7150000}"/>
    <cellStyle name="Normal 4 4 4 2 6 2 2" xfId="16157" xr:uid="{30DF14C7-828E-4A96-8F4A-719CF8A1E092}"/>
    <cellStyle name="Normal 4 4 4 2 6 3" xfId="11940" xr:uid="{33B4CB1E-A128-4DE8-98D4-5C41CBD0BA24}"/>
    <cellStyle name="Normal 4 4 4 2 7" xfId="4766" xr:uid="{00000000-0005-0000-0000-0000C8150000}"/>
    <cellStyle name="Normal 4 4 4 2 7 2" xfId="14092" xr:uid="{1B91E129-6E8E-48CF-8713-A93B1B70AA53}"/>
    <cellStyle name="Normal 4 4 4 2 8" xfId="9059" xr:uid="{76617FCA-DBA6-4291-BD32-6340A19903F7}"/>
    <cellStyle name="Normal 4 4 4 2 9" xfId="9875" xr:uid="{54DF4111-F558-4B34-8C0C-2D5B1679E1DF}"/>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B4DB649F-8C69-42E5-93EC-A6BB424D45BA}"/>
    <cellStyle name="Normal 4 4 4 3 2 3" xfId="12432" xr:uid="{2812DB9C-E967-4BC8-A480-6FD5181E2869}"/>
    <cellStyle name="Normal 4 4 4 3 3" xfId="5178" xr:uid="{00000000-0005-0000-0000-0000CC150000}"/>
    <cellStyle name="Normal 4 4 4 3 3 2" xfId="14504" xr:uid="{EEF34BD0-E43D-4967-8E45-3DDC2925B1FB}"/>
    <cellStyle name="Normal 4 4 4 3 4" xfId="9277" xr:uid="{DD01CD29-2559-4BCC-919C-99D1D75C445F}"/>
    <cellStyle name="Normal 4 4 4 3 5" xfId="10287" xr:uid="{C1E56FD9-B02C-4CB5-9CA1-D959BFC507CC}"/>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74B450E5-78E0-428B-9DF8-82C7897EE68D}"/>
    <cellStyle name="Normal 4 4 4 4 2 3" xfId="12845" xr:uid="{99E44F90-C51B-4FD7-BAD3-248F8B5617EF}"/>
    <cellStyle name="Normal 4 4 4 4 3" xfId="5591" xr:uid="{00000000-0005-0000-0000-0000D0150000}"/>
    <cellStyle name="Normal 4 4 4 4 3 2" xfId="14917" xr:uid="{E0DDED9F-7BAF-4686-81E6-C1025B93318F}"/>
    <cellStyle name="Normal 4 4 4 4 4" xfId="10700" xr:uid="{B00737FD-3B28-4FF1-82D7-38F46776C6C3}"/>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16045E8B-3FC7-4A10-B63F-493C1EE8CFCB}"/>
    <cellStyle name="Normal 4 4 4 5 2 3" xfId="13258" xr:uid="{50A7F489-0A05-4C01-95DD-C4D83B50207C}"/>
    <cellStyle name="Normal 4 4 4 5 3" xfId="6004" xr:uid="{00000000-0005-0000-0000-0000D4150000}"/>
    <cellStyle name="Normal 4 4 4 5 3 2" xfId="15330" xr:uid="{38FF81EE-0BCB-4906-A0CA-0DF7DECB557F}"/>
    <cellStyle name="Normal 4 4 4 5 4" xfId="11113" xr:uid="{F8C1AF94-A67F-44CB-A14D-5D31DE54ABCF}"/>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4B65084A-A735-4F5F-8E2F-E7A0BF5CD0C2}"/>
    <cellStyle name="Normal 4 4 4 6 2 3" xfId="13671" xr:uid="{63649108-AD2D-413A-89C4-9E15EEE517CB}"/>
    <cellStyle name="Normal 4 4 4 6 3" xfId="6417" xr:uid="{00000000-0005-0000-0000-0000D8150000}"/>
    <cellStyle name="Normal 4 4 4 6 3 2" xfId="15743" xr:uid="{EC6B721E-3DB8-4C45-88FE-00D984D38F54}"/>
    <cellStyle name="Normal 4 4 4 6 4" xfId="11526" xr:uid="{DDF3F35F-2E64-4DFE-B82F-CC1DF254070B}"/>
    <cellStyle name="Normal 4 4 4 7" xfId="2547" xr:uid="{00000000-0005-0000-0000-0000D9150000}"/>
    <cellStyle name="Normal 4 4 4 7 2" xfId="6830" xr:uid="{00000000-0005-0000-0000-0000DA150000}"/>
    <cellStyle name="Normal 4 4 4 7 2 2" xfId="16156" xr:uid="{3DED4E97-DE79-4C3F-903E-784569099D23}"/>
    <cellStyle name="Normal 4 4 4 7 3" xfId="11939" xr:uid="{156307CA-6045-4D34-9C93-E2600535C897}"/>
    <cellStyle name="Normal 4 4 4 8" xfId="4765" xr:uid="{00000000-0005-0000-0000-0000DB150000}"/>
    <cellStyle name="Normal 4 4 4 8 2" xfId="14091" xr:uid="{62BDEF35-E184-4073-BCD1-066DDA87EBFE}"/>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B1D482B2-E348-415D-A565-62AF98186B5A}"/>
    <cellStyle name="Normal 4 4 5 2 2 3" xfId="12434" xr:uid="{48790E57-7D3D-4481-8E2D-F75E3FCC65B1}"/>
    <cellStyle name="Normal 4 4 5 2 3" xfId="5180" xr:uid="{00000000-0005-0000-0000-0000E0150000}"/>
    <cellStyle name="Normal 4 4 5 2 3 2" xfId="14506" xr:uid="{2CACCB0C-7294-4556-835B-2011C79721DD}"/>
    <cellStyle name="Normal 4 4 5 2 4" xfId="9393" xr:uid="{C2991CC4-4E0B-46C4-B338-C6A1C9BA2DE9}"/>
    <cellStyle name="Normal 4 4 5 2 5" xfId="10289" xr:uid="{F4600EA5-07BA-44D3-804A-11E678D273F8}"/>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D86B15FC-E8E7-4C72-8E2D-AA738DCC735E}"/>
    <cellStyle name="Normal 4 4 5 3 2 3" xfId="12847" xr:uid="{7E3EC260-4792-4F01-AE54-273D02046817}"/>
    <cellStyle name="Normal 4 4 5 3 3" xfId="5593" xr:uid="{00000000-0005-0000-0000-0000E4150000}"/>
    <cellStyle name="Normal 4 4 5 3 3 2" xfId="14919" xr:uid="{FC909A1F-8D94-481A-BEF6-BFE83C847D67}"/>
    <cellStyle name="Normal 4 4 5 3 4" xfId="10702" xr:uid="{DDD610A3-82F6-49A8-BEA9-D2B3A28CAF1A}"/>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A29159F1-EC62-4C8B-8608-3701CE4BD22A}"/>
    <cellStyle name="Normal 4 4 5 4 2 3" xfId="13260" xr:uid="{F84B6373-11A4-42F0-BAC9-A128FB80329C}"/>
    <cellStyle name="Normal 4 4 5 4 3" xfId="6006" xr:uid="{00000000-0005-0000-0000-0000E8150000}"/>
    <cellStyle name="Normal 4 4 5 4 3 2" xfId="15332" xr:uid="{48761041-5E92-42AC-AB0D-B261734B6188}"/>
    <cellStyle name="Normal 4 4 5 4 4" xfId="11115" xr:uid="{010B1E8C-79E5-4B30-9D62-70AE38D4A5AC}"/>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6EBA2C92-3270-4339-846B-0C27588C79B0}"/>
    <cellStyle name="Normal 4 4 5 5 2 3" xfId="13673" xr:uid="{F953165C-79A1-406D-B473-CFD070685F9F}"/>
    <cellStyle name="Normal 4 4 5 5 3" xfId="6419" xr:uid="{00000000-0005-0000-0000-0000EC150000}"/>
    <cellStyle name="Normal 4 4 5 5 3 2" xfId="15745" xr:uid="{537F1736-B574-43CA-A6E4-116947841C8A}"/>
    <cellStyle name="Normal 4 4 5 5 4" xfId="11528" xr:uid="{669D9B29-BD28-4323-BC95-7B7905040D89}"/>
    <cellStyle name="Normal 4 4 5 6" xfId="2549" xr:uid="{00000000-0005-0000-0000-0000ED150000}"/>
    <cellStyle name="Normal 4 4 5 6 2" xfId="6832" xr:uid="{00000000-0005-0000-0000-0000EE150000}"/>
    <cellStyle name="Normal 4 4 5 6 2 2" xfId="16158" xr:uid="{3EE184F1-7621-40E5-83CA-10D66173C662}"/>
    <cellStyle name="Normal 4 4 5 6 3" xfId="11941" xr:uid="{CC2B876E-4A63-472D-8B82-C197BB846CD5}"/>
    <cellStyle name="Normal 4 4 5 7" xfId="4767" xr:uid="{00000000-0005-0000-0000-0000EF150000}"/>
    <cellStyle name="Normal 4 4 5 7 2" xfId="14093" xr:uid="{C7575613-1E56-4DE7-B4F5-A78CB786C04F}"/>
    <cellStyle name="Normal 4 4 5 8" xfId="8968" xr:uid="{BE877DDE-435D-4CBA-84F2-0372D1DDE771}"/>
    <cellStyle name="Normal 4 4 5 9" xfId="9876" xr:uid="{739C0D23-B749-4599-AF9A-4FF118510EF6}"/>
    <cellStyle name="Normal 4 4 6" xfId="853" xr:uid="{00000000-0005-0000-0000-0000F0150000}"/>
    <cellStyle name="Normal 4 4 6 2" xfId="3088" xr:uid="{00000000-0005-0000-0000-0000F1150000}"/>
    <cellStyle name="Normal 4 4 6 2 2" xfId="7310" xr:uid="{00000000-0005-0000-0000-0000F2150000}"/>
    <cellStyle name="Normal 4 4 6 2 2 2" xfId="16636" xr:uid="{C6C936E5-E206-4048-8789-9401433160BE}"/>
    <cellStyle name="Normal 4 4 6 2 3" xfId="12419" xr:uid="{A83FEF37-2B86-4943-A751-AB1DFE791F81}"/>
    <cellStyle name="Normal 4 4 6 3" xfId="5165" xr:uid="{00000000-0005-0000-0000-0000F3150000}"/>
    <cellStyle name="Normal 4 4 6 3 2" xfId="14491" xr:uid="{6AA8EDCC-2256-456D-9B6A-1052A3046568}"/>
    <cellStyle name="Normal 4 4 6 4" xfId="9171" xr:uid="{C474601B-95F0-4C9E-AB77-B3E61D2A21D7}"/>
    <cellStyle name="Normal 4 4 6 5" xfId="10274" xr:uid="{017C307C-55CF-4B99-8756-10B749BD66B7}"/>
    <cellStyle name="Normal 4 4 7" xfId="1271" xr:uid="{00000000-0005-0000-0000-0000F4150000}"/>
    <cellStyle name="Normal 4 4 7 2" xfId="3501" xr:uid="{00000000-0005-0000-0000-0000F5150000}"/>
    <cellStyle name="Normal 4 4 7 2 2" xfId="7723" xr:uid="{00000000-0005-0000-0000-0000F6150000}"/>
    <cellStyle name="Normal 4 4 7 2 2 2" xfId="17049" xr:uid="{E3F220F8-DB57-429F-AD2A-88FD922CE04A}"/>
    <cellStyle name="Normal 4 4 7 2 3" xfId="12832" xr:uid="{596F8DFB-701A-4F72-A60E-88D3EE416F77}"/>
    <cellStyle name="Normal 4 4 7 3" xfId="5578" xr:uid="{00000000-0005-0000-0000-0000F7150000}"/>
    <cellStyle name="Normal 4 4 7 3 2" xfId="14904" xr:uid="{1613CD74-CE25-4C09-88C6-D17929C4F908}"/>
    <cellStyle name="Normal 4 4 7 4" xfId="10687" xr:uid="{408BAB08-1447-4650-834B-3D2033E6B644}"/>
    <cellStyle name="Normal 4 4 8" xfId="1684" xr:uid="{00000000-0005-0000-0000-0000F8150000}"/>
    <cellStyle name="Normal 4 4 8 2" xfId="3914" xr:uid="{00000000-0005-0000-0000-0000F9150000}"/>
    <cellStyle name="Normal 4 4 8 2 2" xfId="8136" xr:uid="{00000000-0005-0000-0000-0000FA150000}"/>
    <cellStyle name="Normal 4 4 8 2 2 2" xfId="17462" xr:uid="{39314AF7-0A31-447D-8F4C-C058E1B01F9F}"/>
    <cellStyle name="Normal 4 4 8 2 3" xfId="13245" xr:uid="{34FF0F7E-62EC-4281-AF60-5F0A260ED485}"/>
    <cellStyle name="Normal 4 4 8 3" xfId="5991" xr:uid="{00000000-0005-0000-0000-0000FB150000}"/>
    <cellStyle name="Normal 4 4 8 3 2" xfId="15317" xr:uid="{D1F7F3D9-42D3-4821-B7DF-27C740099CB8}"/>
    <cellStyle name="Normal 4 4 8 4" xfId="11100" xr:uid="{6C10BE9E-8D16-4E7D-8FDE-95CDC881ADCC}"/>
    <cellStyle name="Normal 4 4 9" xfId="2098" xr:uid="{00000000-0005-0000-0000-0000FC150000}"/>
    <cellStyle name="Normal 4 4 9 2" xfId="4327" xr:uid="{00000000-0005-0000-0000-0000FD150000}"/>
    <cellStyle name="Normal 4 4 9 2 2" xfId="8549" xr:uid="{00000000-0005-0000-0000-0000FE150000}"/>
    <cellStyle name="Normal 4 4 9 2 2 2" xfId="17875" xr:uid="{948208B1-CB30-4897-B4EB-19985492A080}"/>
    <cellStyle name="Normal 4 4 9 2 3" xfId="13658" xr:uid="{8C5F9B8D-4A72-4CC2-B2B7-50118001BC92}"/>
    <cellStyle name="Normal 4 4 9 3" xfId="6404" xr:uid="{00000000-0005-0000-0000-0000FF150000}"/>
    <cellStyle name="Normal 4 4 9 3 2" xfId="15730" xr:uid="{630CEE40-1D0B-4CC9-8238-2DF41F338E3B}"/>
    <cellStyle name="Normal 4 4 9 4" xfId="11513" xr:uid="{72080509-09D0-4D9E-B29B-1B61F8881712}"/>
    <cellStyle name="Normal 4 5" xfId="394" xr:uid="{00000000-0005-0000-0000-000000160000}"/>
    <cellStyle name="Normal 4 6" xfId="395" xr:uid="{00000000-0005-0000-0000-000001160000}"/>
    <cellStyle name="Normal 4 6 10" xfId="4768" xr:uid="{00000000-0005-0000-0000-000002160000}"/>
    <cellStyle name="Normal 4 6 10 2" xfId="14094" xr:uid="{02C5C297-5B0A-491D-B40E-790B8A30FF85}"/>
    <cellStyle name="Normal 4 6 11" xfId="8772" xr:uid="{23628FEE-4113-4B2C-B2A0-0106FC7F55C2}"/>
    <cellStyle name="Normal 4 6 12" xfId="9877" xr:uid="{25EB5FDA-343E-4E4A-AAEC-501EBFD4CA65}"/>
    <cellStyle name="Normal 4 6 2" xfId="396" xr:uid="{00000000-0005-0000-0000-000003160000}"/>
    <cellStyle name="Normal 4 6 2 10" xfId="8825" xr:uid="{C3062495-9D56-441B-95F6-B73E7DAC524C}"/>
    <cellStyle name="Normal 4 6 2 11" xfId="9878" xr:uid="{17424576-D256-4691-B5BC-13EC4D046D16}"/>
    <cellStyle name="Normal 4 6 2 2" xfId="397" xr:uid="{00000000-0005-0000-0000-000004160000}"/>
    <cellStyle name="Normal 4 6 2 2 10" xfId="9879" xr:uid="{69E558BA-886D-45B5-890B-712EC8161B56}"/>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99A3A37A-BD91-49BE-A16C-30A8BA9CAE9C}"/>
    <cellStyle name="Normal 4 6 2 2 2 2 2 3" xfId="12438" xr:uid="{1DBA7497-5CF2-45A0-A675-416401E5D796}"/>
    <cellStyle name="Normal 4 6 2 2 2 2 3" xfId="5184" xr:uid="{00000000-0005-0000-0000-000009160000}"/>
    <cellStyle name="Normal 4 6 2 2 2 2 3 2" xfId="14510" xr:uid="{20BD8E21-9933-42A6-9F62-CD829F7AED3E}"/>
    <cellStyle name="Normal 4 6 2 2 2 2 4" xfId="9560" xr:uid="{04DAEE11-A96E-4522-8546-8A0C107E12B9}"/>
    <cellStyle name="Normal 4 6 2 2 2 2 5" xfId="10293" xr:uid="{B66137F0-59C8-44F9-A69C-7FAD6591212A}"/>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AF5E8C2A-55AA-4E60-814F-E4DE0CD8EBA8}"/>
    <cellStyle name="Normal 4 6 2 2 2 3 2 3" xfId="12851" xr:uid="{0122362B-586F-4DDC-981F-3304012D4C00}"/>
    <cellStyle name="Normal 4 6 2 2 2 3 3" xfId="5597" xr:uid="{00000000-0005-0000-0000-00000D160000}"/>
    <cellStyle name="Normal 4 6 2 2 2 3 3 2" xfId="14923" xr:uid="{ED11056D-CB40-4106-BD69-7749FE245C2E}"/>
    <cellStyle name="Normal 4 6 2 2 2 3 4" xfId="10706" xr:uid="{9C2F7B6E-4599-4E90-B4E7-1CBA95E1C29B}"/>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5B801271-B82A-425D-9639-0E25C566BF10}"/>
    <cellStyle name="Normal 4 6 2 2 2 4 2 3" xfId="13264" xr:uid="{E3EA6E76-D58E-485C-B3D2-3D425FCB52F9}"/>
    <cellStyle name="Normal 4 6 2 2 2 4 3" xfId="6010" xr:uid="{00000000-0005-0000-0000-000011160000}"/>
    <cellStyle name="Normal 4 6 2 2 2 4 3 2" xfId="15336" xr:uid="{6E5345AC-A570-4090-8540-D53FB2A9B99D}"/>
    <cellStyle name="Normal 4 6 2 2 2 4 4" xfId="11119" xr:uid="{F545F425-95D6-4103-BDA7-5987ED1CEF4D}"/>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5C0F84C7-BCB1-4757-A765-973CD62C9DA8}"/>
    <cellStyle name="Normal 4 6 2 2 2 5 2 3" xfId="13677" xr:uid="{2A03FD2E-C2D4-4C45-8059-E3117C0551B0}"/>
    <cellStyle name="Normal 4 6 2 2 2 5 3" xfId="6423" xr:uid="{00000000-0005-0000-0000-000015160000}"/>
    <cellStyle name="Normal 4 6 2 2 2 5 3 2" xfId="15749" xr:uid="{5070097A-56A3-4E3A-924E-B9036A4AA7A9}"/>
    <cellStyle name="Normal 4 6 2 2 2 5 4" xfId="11532" xr:uid="{15FE872B-B478-407F-8299-F0D18C47CECE}"/>
    <cellStyle name="Normal 4 6 2 2 2 6" xfId="2553" xr:uid="{00000000-0005-0000-0000-000016160000}"/>
    <cellStyle name="Normal 4 6 2 2 2 6 2" xfId="6836" xr:uid="{00000000-0005-0000-0000-000017160000}"/>
    <cellStyle name="Normal 4 6 2 2 2 6 2 2" xfId="16162" xr:uid="{C63FE220-8552-4C24-A22C-237FF922C2A1}"/>
    <cellStyle name="Normal 4 6 2 2 2 6 3" xfId="11945" xr:uid="{363C8725-6414-4773-AE92-313FE6D8B812}"/>
    <cellStyle name="Normal 4 6 2 2 2 7" xfId="4771" xr:uid="{00000000-0005-0000-0000-000018160000}"/>
    <cellStyle name="Normal 4 6 2 2 2 7 2" xfId="14097" xr:uid="{F6200C77-7BFB-46FA-8BA8-D238B6A5C492}"/>
    <cellStyle name="Normal 4 6 2 2 2 8" xfId="9135" xr:uid="{2F4C420F-13DD-45DD-99DD-C7AFF7CD7823}"/>
    <cellStyle name="Normal 4 6 2 2 2 9" xfId="9880" xr:uid="{93F4D929-A022-43B4-B2E3-DBA6CE40A30F}"/>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9846490F-FE50-48C7-AA61-4DC20D3F1716}"/>
    <cellStyle name="Normal 4 6 2 2 3 2 3" xfId="12437" xr:uid="{587F0EC7-2E92-47F2-ABB3-01F6EDD98F7E}"/>
    <cellStyle name="Normal 4 6 2 2 3 3" xfId="5183" xr:uid="{00000000-0005-0000-0000-00001C160000}"/>
    <cellStyle name="Normal 4 6 2 2 3 3 2" xfId="14509" xr:uid="{492EA9C6-0CFD-4C4F-A714-A6AAB6032A99}"/>
    <cellStyle name="Normal 4 6 2 2 3 4" xfId="9353" xr:uid="{60C7EC16-17DE-43AF-A246-41C667B376B7}"/>
    <cellStyle name="Normal 4 6 2 2 3 5" xfId="10292" xr:uid="{1C32802D-0EDA-4C67-B106-3C0BAEE1D623}"/>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FA6CA70B-88F5-4C26-A704-0603CBE572A7}"/>
    <cellStyle name="Normal 4 6 2 2 4 2 3" xfId="12850" xr:uid="{37475DAF-1AA5-4A08-997A-D8676F37CE77}"/>
    <cellStyle name="Normal 4 6 2 2 4 3" xfId="5596" xr:uid="{00000000-0005-0000-0000-000020160000}"/>
    <cellStyle name="Normal 4 6 2 2 4 3 2" xfId="14922" xr:uid="{E4761F4A-893B-450B-A8FD-4D7656FB92A5}"/>
    <cellStyle name="Normal 4 6 2 2 4 4" xfId="10705" xr:uid="{AB07D0AB-5ADE-4BB9-AC78-42E5B8D4AF75}"/>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A86C3713-9463-4169-A45A-A4C1D9D474AA}"/>
    <cellStyle name="Normal 4 6 2 2 5 2 3" xfId="13263" xr:uid="{F5AFC7D3-A7ED-42A4-9846-8204EAFEE6C1}"/>
    <cellStyle name="Normal 4 6 2 2 5 3" xfId="6009" xr:uid="{00000000-0005-0000-0000-000024160000}"/>
    <cellStyle name="Normal 4 6 2 2 5 3 2" xfId="15335" xr:uid="{3C1D3F7A-E695-4D55-9471-9B9E59D856E2}"/>
    <cellStyle name="Normal 4 6 2 2 5 4" xfId="11118" xr:uid="{7C80E6E1-B794-4E9B-B175-50D7C30AACA1}"/>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38C0637F-4978-4E97-8979-64D4942A9912}"/>
    <cellStyle name="Normal 4 6 2 2 6 2 3" xfId="13676" xr:uid="{561959DF-AE81-4B9C-BFD9-85011C95C9CD}"/>
    <cellStyle name="Normal 4 6 2 2 6 3" xfId="6422" xr:uid="{00000000-0005-0000-0000-000028160000}"/>
    <cellStyle name="Normal 4 6 2 2 6 3 2" xfId="15748" xr:uid="{834E80B7-56B0-4DBB-B4B9-C6B03E29B3ED}"/>
    <cellStyle name="Normal 4 6 2 2 6 4" xfId="11531" xr:uid="{50BA866C-065C-4D77-901E-1FF3CBCA4B9B}"/>
    <cellStyle name="Normal 4 6 2 2 7" xfId="2552" xr:uid="{00000000-0005-0000-0000-000029160000}"/>
    <cellStyle name="Normal 4 6 2 2 7 2" xfId="6835" xr:uid="{00000000-0005-0000-0000-00002A160000}"/>
    <cellStyle name="Normal 4 6 2 2 7 2 2" xfId="16161" xr:uid="{E2128D2C-99A1-44EF-80B8-E74F18BF2461}"/>
    <cellStyle name="Normal 4 6 2 2 7 3" xfId="11944" xr:uid="{9C767AF3-0152-4F11-B67D-F5C8D1743D06}"/>
    <cellStyle name="Normal 4 6 2 2 8" xfId="4770" xr:uid="{00000000-0005-0000-0000-00002B160000}"/>
    <cellStyle name="Normal 4 6 2 2 8 2" xfId="14096" xr:uid="{60B8DC90-916E-426F-8124-B60EC407CF0A}"/>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33DF9396-9976-4FA6-BDAD-72B658A28B03}"/>
    <cellStyle name="Normal 4 6 2 3 2 2 3" xfId="12439" xr:uid="{BD666196-4C4F-480F-8FD1-6C3460F043EC}"/>
    <cellStyle name="Normal 4 6 2 3 2 3" xfId="5185" xr:uid="{00000000-0005-0000-0000-000030160000}"/>
    <cellStyle name="Normal 4 6 2 3 2 3 2" xfId="14511" xr:uid="{CE493C28-E2AA-4B37-9552-91C54BBA2102}"/>
    <cellStyle name="Normal 4 6 2 3 2 4" xfId="9457" xr:uid="{E86AED2D-42AD-49DE-9461-1FA72B82C89E}"/>
    <cellStyle name="Normal 4 6 2 3 2 5" xfId="10294" xr:uid="{50403970-209F-4323-8A32-D7686FC903BB}"/>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7FEE44FB-89B0-4668-821E-F1745DAE24A3}"/>
    <cellStyle name="Normal 4 6 2 3 3 2 3" xfId="12852" xr:uid="{EA8DA294-63E4-4CBE-BAC7-A18EDDBE1D42}"/>
    <cellStyle name="Normal 4 6 2 3 3 3" xfId="5598" xr:uid="{00000000-0005-0000-0000-000034160000}"/>
    <cellStyle name="Normal 4 6 2 3 3 3 2" xfId="14924" xr:uid="{1C2FD305-B793-45C7-A83B-66BADC3B1F54}"/>
    <cellStyle name="Normal 4 6 2 3 3 4" xfId="10707" xr:uid="{57454841-5286-4240-8086-8915D348EA7B}"/>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FCBF1F9B-F591-4F1C-AD99-81A9A509F9AC}"/>
    <cellStyle name="Normal 4 6 2 3 4 2 3" xfId="13265" xr:uid="{8392BEFA-E8C6-4E30-8143-1938B71D88C5}"/>
    <cellStyle name="Normal 4 6 2 3 4 3" xfId="6011" xr:uid="{00000000-0005-0000-0000-000038160000}"/>
    <cellStyle name="Normal 4 6 2 3 4 3 2" xfId="15337" xr:uid="{99066EB1-2278-407A-9579-26BD8206E4EC}"/>
    <cellStyle name="Normal 4 6 2 3 4 4" xfId="11120" xr:uid="{DEEB9B52-7838-4DD7-920E-5E7E43CF64CC}"/>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C2911559-5D42-4A91-BEDD-18EA026F54C8}"/>
    <cellStyle name="Normal 4 6 2 3 5 2 3" xfId="13678" xr:uid="{FCD34D8A-854F-4C9D-85EA-03D19C18B33B}"/>
    <cellStyle name="Normal 4 6 2 3 5 3" xfId="6424" xr:uid="{00000000-0005-0000-0000-00003C160000}"/>
    <cellStyle name="Normal 4 6 2 3 5 3 2" xfId="15750" xr:uid="{7683E663-91F0-48AA-ABAB-A386CD87703B}"/>
    <cellStyle name="Normal 4 6 2 3 5 4" xfId="11533" xr:uid="{5AC515A0-59FC-485D-94BF-B22AEC37797F}"/>
    <cellStyle name="Normal 4 6 2 3 6" xfId="2554" xr:uid="{00000000-0005-0000-0000-00003D160000}"/>
    <cellStyle name="Normal 4 6 2 3 6 2" xfId="6837" xr:uid="{00000000-0005-0000-0000-00003E160000}"/>
    <cellStyle name="Normal 4 6 2 3 6 2 2" xfId="16163" xr:uid="{A36E7878-710E-4032-8208-236D539D3BD8}"/>
    <cellStyle name="Normal 4 6 2 3 6 3" xfId="11946" xr:uid="{1ED23759-F0D7-45D1-AB7B-848083DCB144}"/>
    <cellStyle name="Normal 4 6 2 3 7" xfId="4772" xr:uid="{00000000-0005-0000-0000-00003F160000}"/>
    <cellStyle name="Normal 4 6 2 3 7 2" xfId="14098" xr:uid="{6893D1B8-B6AC-4DCE-B4B9-A73F4ED613E1}"/>
    <cellStyle name="Normal 4 6 2 3 8" xfId="9032" xr:uid="{576A1DC5-5971-4772-803F-0A60F80D4C41}"/>
    <cellStyle name="Normal 4 6 2 3 9" xfId="9881" xr:uid="{10006482-0BF2-4E83-8E8F-C5F37AE02407}"/>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1EE46ABD-2485-4A8C-B79F-925F8F234B71}"/>
    <cellStyle name="Normal 4 6 2 4 2 3" xfId="12436" xr:uid="{E2A54D33-F1A6-4432-B5AC-EF2998E067C9}"/>
    <cellStyle name="Normal 4 6 2 4 3" xfId="5182" xr:uid="{00000000-0005-0000-0000-000043160000}"/>
    <cellStyle name="Normal 4 6 2 4 3 2" xfId="14508" xr:uid="{80C45E66-2DD2-4086-A3E6-71E220BC2A99}"/>
    <cellStyle name="Normal 4 6 2 4 4" xfId="9250" xr:uid="{CBBC9A51-5203-4C00-93C7-FE7C973DCDD1}"/>
    <cellStyle name="Normal 4 6 2 4 5" xfId="10291" xr:uid="{FB94D3AA-C37E-433F-B0E0-810E487B335C}"/>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F3E2F79C-E851-413D-A36B-3D24E6524DEA}"/>
    <cellStyle name="Normal 4 6 2 5 2 3" xfId="12849" xr:uid="{4ACEA43E-214A-42EA-A4BB-11093E2D279C}"/>
    <cellStyle name="Normal 4 6 2 5 3" xfId="5595" xr:uid="{00000000-0005-0000-0000-000047160000}"/>
    <cellStyle name="Normal 4 6 2 5 3 2" xfId="14921" xr:uid="{E5351ED2-27FC-45CE-95D3-86632B035B56}"/>
    <cellStyle name="Normal 4 6 2 5 4" xfId="10704" xr:uid="{9B0E56E7-D65C-44AA-A701-F907C2F7CFF0}"/>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6F870BE7-F696-4315-B4C2-CC1369EDC734}"/>
    <cellStyle name="Normal 4 6 2 6 2 3" xfId="13262" xr:uid="{919B5C30-B69E-4BFD-9F1B-50DAEB6B3DD6}"/>
    <cellStyle name="Normal 4 6 2 6 3" xfId="6008" xr:uid="{00000000-0005-0000-0000-00004B160000}"/>
    <cellStyle name="Normal 4 6 2 6 3 2" xfId="15334" xr:uid="{679EEED0-0C81-4FD4-90C9-FBA86DA2B9FC}"/>
    <cellStyle name="Normal 4 6 2 6 4" xfId="11117" xr:uid="{02745E35-9F9C-4110-9DE9-22B273E2D939}"/>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38E31037-154C-404F-9FD9-DCE1A90CCF40}"/>
    <cellStyle name="Normal 4 6 2 7 2 3" xfId="13675" xr:uid="{45CB4B4F-E0EE-4C59-82C2-012C4D03FC1A}"/>
    <cellStyle name="Normal 4 6 2 7 3" xfId="6421" xr:uid="{00000000-0005-0000-0000-00004F160000}"/>
    <cellStyle name="Normal 4 6 2 7 3 2" xfId="15747" xr:uid="{AC1A904E-09EC-40CB-94F1-73849F39267D}"/>
    <cellStyle name="Normal 4 6 2 7 4" xfId="11530" xr:uid="{63B59697-ABBE-4598-B117-000275B9C836}"/>
    <cellStyle name="Normal 4 6 2 8" xfId="2551" xr:uid="{00000000-0005-0000-0000-000050160000}"/>
    <cellStyle name="Normal 4 6 2 8 2" xfId="6834" xr:uid="{00000000-0005-0000-0000-000051160000}"/>
    <cellStyle name="Normal 4 6 2 8 2 2" xfId="16160" xr:uid="{2075A18C-F441-4B6C-8681-BE387A6E438B}"/>
    <cellStyle name="Normal 4 6 2 8 3" xfId="11943" xr:uid="{0B744732-2800-42EE-8CF2-6289F0E308E4}"/>
    <cellStyle name="Normal 4 6 2 9" xfId="4769" xr:uid="{00000000-0005-0000-0000-000052160000}"/>
    <cellStyle name="Normal 4 6 2 9 2" xfId="14095" xr:uid="{3FCBA31F-2128-4A48-9B7E-6E6A17A327BC}"/>
    <cellStyle name="Normal 4 6 3" xfId="400" xr:uid="{00000000-0005-0000-0000-000053160000}"/>
    <cellStyle name="Normal 4 6 3 10" xfId="9882" xr:uid="{B3134301-9800-4D1A-B5E9-A42E436263E5}"/>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1D326A64-0E9D-4454-9CA1-1A80C6D38832}"/>
    <cellStyle name="Normal 4 6 3 2 2 2 3" xfId="12441" xr:uid="{5A0D70D8-B61F-40B3-8F3E-FE57E6632E56}"/>
    <cellStyle name="Normal 4 6 3 2 2 3" xfId="5187" xr:uid="{00000000-0005-0000-0000-000058160000}"/>
    <cellStyle name="Normal 4 6 3 2 2 3 2" xfId="14513" xr:uid="{7A366F56-C0AE-408C-914A-DC1FFF678AB9}"/>
    <cellStyle name="Normal 4 6 3 2 2 4" xfId="9507" xr:uid="{63E4C3EA-8BE6-4CDE-9E44-1D64049D4CF5}"/>
    <cellStyle name="Normal 4 6 3 2 2 5" xfId="10296" xr:uid="{088E7DD1-3F2B-4501-B70C-6628B58C591A}"/>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B91983AD-1D71-4F91-B533-93A57540DE2C}"/>
    <cellStyle name="Normal 4 6 3 2 3 2 3" xfId="12854" xr:uid="{C2332397-871C-4D53-A971-A23E564A4302}"/>
    <cellStyle name="Normal 4 6 3 2 3 3" xfId="5600" xr:uid="{00000000-0005-0000-0000-00005C160000}"/>
    <cellStyle name="Normal 4 6 3 2 3 3 2" xfId="14926" xr:uid="{990C9F2C-4A7C-4A1D-9182-F707EB438F72}"/>
    <cellStyle name="Normal 4 6 3 2 3 4" xfId="10709" xr:uid="{915A5911-50E4-43EC-B241-5BCA4AEBEC8D}"/>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81E7D9EC-52B8-44EA-B11C-A6927284D5B9}"/>
    <cellStyle name="Normal 4 6 3 2 4 2 3" xfId="13267" xr:uid="{8B01D1B5-FCB6-4380-824E-BD79C990163C}"/>
    <cellStyle name="Normal 4 6 3 2 4 3" xfId="6013" xr:uid="{00000000-0005-0000-0000-000060160000}"/>
    <cellStyle name="Normal 4 6 3 2 4 3 2" xfId="15339" xr:uid="{869C9678-51C3-4E74-893F-6A2985A6CE59}"/>
    <cellStyle name="Normal 4 6 3 2 4 4" xfId="11122" xr:uid="{923FA5B4-4C6A-4B54-996E-3585DAAE9C33}"/>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3C0689F5-06F9-4180-B919-D99D78D3D656}"/>
    <cellStyle name="Normal 4 6 3 2 5 2 3" xfId="13680" xr:uid="{B00A8335-8719-42D1-8870-BE6BEFAFAE16}"/>
    <cellStyle name="Normal 4 6 3 2 5 3" xfId="6426" xr:uid="{00000000-0005-0000-0000-000064160000}"/>
    <cellStyle name="Normal 4 6 3 2 5 3 2" xfId="15752" xr:uid="{B13ABEC6-A75B-47C1-9798-7E8A9625F4FD}"/>
    <cellStyle name="Normal 4 6 3 2 5 4" xfId="11535" xr:uid="{C9EEBF2B-DCAC-4544-824B-A25D108321F6}"/>
    <cellStyle name="Normal 4 6 3 2 6" xfId="2556" xr:uid="{00000000-0005-0000-0000-000065160000}"/>
    <cellStyle name="Normal 4 6 3 2 6 2" xfId="6839" xr:uid="{00000000-0005-0000-0000-000066160000}"/>
    <cellStyle name="Normal 4 6 3 2 6 2 2" xfId="16165" xr:uid="{157C773D-CC82-4337-B4FD-0928F9E38797}"/>
    <cellStyle name="Normal 4 6 3 2 6 3" xfId="11948" xr:uid="{6D907CF5-4551-45C2-9D25-F01F9384B8BD}"/>
    <cellStyle name="Normal 4 6 3 2 7" xfId="4774" xr:uid="{00000000-0005-0000-0000-000067160000}"/>
    <cellStyle name="Normal 4 6 3 2 7 2" xfId="14100" xr:uid="{7351B2DD-3DB8-42B8-BF26-08F35173432E}"/>
    <cellStyle name="Normal 4 6 3 2 8" xfId="9082" xr:uid="{B272D1AE-3713-4AD0-AE3F-D1A7344AD432}"/>
    <cellStyle name="Normal 4 6 3 2 9" xfId="9883" xr:uid="{2A3D1154-CB6D-47C1-BD88-4A9C49419E77}"/>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9AA2C9D7-FAE4-4558-8345-817C5970E2B9}"/>
    <cellStyle name="Normal 4 6 3 3 2 3" xfId="12440" xr:uid="{CA0AE988-DF8C-405E-A3E6-DB68720C45F2}"/>
    <cellStyle name="Normal 4 6 3 3 3" xfId="5186" xr:uid="{00000000-0005-0000-0000-00006B160000}"/>
    <cellStyle name="Normal 4 6 3 3 3 2" xfId="14512" xr:uid="{74BD7446-FFBE-4453-B891-C627FC36B967}"/>
    <cellStyle name="Normal 4 6 3 3 4" xfId="9300" xr:uid="{955A2E97-C871-4115-A4F5-A642AE2D2C4B}"/>
    <cellStyle name="Normal 4 6 3 3 5" xfId="10295" xr:uid="{A8B0BE11-425D-4970-B91C-501D0A5C8CE1}"/>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B2850635-9934-4736-B301-61A201FB5255}"/>
    <cellStyle name="Normal 4 6 3 4 2 3" xfId="12853" xr:uid="{81CFE1B7-08F0-4CDD-A110-1ABB9ECC534B}"/>
    <cellStyle name="Normal 4 6 3 4 3" xfId="5599" xr:uid="{00000000-0005-0000-0000-00006F160000}"/>
    <cellStyle name="Normal 4 6 3 4 3 2" xfId="14925" xr:uid="{943C6045-916A-428F-904A-0BF054C856D4}"/>
    <cellStyle name="Normal 4 6 3 4 4" xfId="10708" xr:uid="{31DAF942-4CE1-4F86-9FB4-7074EBB9B26F}"/>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20C5C0A5-0C02-460E-B52D-7EAA22A2C2B3}"/>
    <cellStyle name="Normal 4 6 3 5 2 3" xfId="13266" xr:uid="{D53DAD14-9666-4C82-8F97-299276C55ED2}"/>
    <cellStyle name="Normal 4 6 3 5 3" xfId="6012" xr:uid="{00000000-0005-0000-0000-000073160000}"/>
    <cellStyle name="Normal 4 6 3 5 3 2" xfId="15338" xr:uid="{1376A1DC-B05A-458E-80CE-CDFD11E6C7E7}"/>
    <cellStyle name="Normal 4 6 3 5 4" xfId="11121" xr:uid="{84EEB1A1-1421-4F23-8A0D-A935A557D30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AB15199E-D8D0-4E41-88F4-502F93EB8642}"/>
    <cellStyle name="Normal 4 6 3 6 2 3" xfId="13679" xr:uid="{8939BA8B-ABE2-4468-ABE1-4B04D424D09A}"/>
    <cellStyle name="Normal 4 6 3 6 3" xfId="6425" xr:uid="{00000000-0005-0000-0000-000077160000}"/>
    <cellStyle name="Normal 4 6 3 6 3 2" xfId="15751" xr:uid="{EB4E6D7A-47DB-403F-9EFB-8A446FAF036E}"/>
    <cellStyle name="Normal 4 6 3 6 4" xfId="11534" xr:uid="{E5E3BD25-4572-40E9-925D-17A591935224}"/>
    <cellStyle name="Normal 4 6 3 7" xfId="2555" xr:uid="{00000000-0005-0000-0000-000078160000}"/>
    <cellStyle name="Normal 4 6 3 7 2" xfId="6838" xr:uid="{00000000-0005-0000-0000-000079160000}"/>
    <cellStyle name="Normal 4 6 3 7 2 2" xfId="16164" xr:uid="{8AF62632-42FC-4E28-A302-80903B5B31AE}"/>
    <cellStyle name="Normal 4 6 3 7 3" xfId="11947" xr:uid="{1BEC5D6F-C9D8-41A4-9496-4098224BA4BF}"/>
    <cellStyle name="Normal 4 6 3 8" xfId="4773" xr:uid="{00000000-0005-0000-0000-00007A160000}"/>
    <cellStyle name="Normal 4 6 3 8 2" xfId="14099" xr:uid="{E2C80152-567B-437E-B4C6-A1E6DDF8F25D}"/>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68ECFF3E-B736-437F-BF46-36E27B0A94A1}"/>
    <cellStyle name="Normal 4 6 4 2 2 3" xfId="12442" xr:uid="{A9ACD1B9-526E-42F6-9A30-B00EAC72BB44}"/>
    <cellStyle name="Normal 4 6 4 2 3" xfId="5188" xr:uid="{00000000-0005-0000-0000-00007F160000}"/>
    <cellStyle name="Normal 4 6 4 2 3 2" xfId="14514" xr:uid="{49A6A975-94B5-4DD3-A7BF-60AD88919BC5}"/>
    <cellStyle name="Normal 4 6 4 2 4" xfId="9404" xr:uid="{D1BAB6D6-35EF-4C34-91EA-2EB17352CDF9}"/>
    <cellStyle name="Normal 4 6 4 2 5" xfId="10297" xr:uid="{F4115349-3210-4D6F-9E08-F4512108A1CE}"/>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0D2DC543-108E-43FB-9882-B41E072EB1B6}"/>
    <cellStyle name="Normal 4 6 4 3 2 3" xfId="12855" xr:uid="{028E1430-B1B9-44B5-ABC9-7936D31E6D59}"/>
    <cellStyle name="Normal 4 6 4 3 3" xfId="5601" xr:uid="{00000000-0005-0000-0000-000083160000}"/>
    <cellStyle name="Normal 4 6 4 3 3 2" xfId="14927" xr:uid="{F43C4E30-3E07-4FFF-90C6-84ADCEB04B8B}"/>
    <cellStyle name="Normal 4 6 4 3 4" xfId="10710" xr:uid="{C097ECB9-944A-42ED-8AE2-5C5D5AEDD541}"/>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201F0540-EDAE-47D0-AED6-6B87501213BF}"/>
    <cellStyle name="Normal 4 6 4 4 2 3" xfId="13268" xr:uid="{341C056E-AAB8-4AD0-9C1F-EA58AD6ABA91}"/>
    <cellStyle name="Normal 4 6 4 4 3" xfId="6014" xr:uid="{00000000-0005-0000-0000-000087160000}"/>
    <cellStyle name="Normal 4 6 4 4 3 2" xfId="15340" xr:uid="{4D51BF3F-C4A5-46B4-BC35-3C7537C07D54}"/>
    <cellStyle name="Normal 4 6 4 4 4" xfId="11123" xr:uid="{73BF98DB-A0D5-456F-9C06-CA19A8AD7FB5}"/>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1AA6DDBB-CC80-4051-97D6-54F7E1A17403}"/>
    <cellStyle name="Normal 4 6 4 5 2 3" xfId="13681" xr:uid="{A9A946CD-B6D7-44AE-886B-2E241BCBA902}"/>
    <cellStyle name="Normal 4 6 4 5 3" xfId="6427" xr:uid="{00000000-0005-0000-0000-00008B160000}"/>
    <cellStyle name="Normal 4 6 4 5 3 2" xfId="15753" xr:uid="{819400F8-EEF5-4A8C-8A1A-9E6FFC0B8BF5}"/>
    <cellStyle name="Normal 4 6 4 5 4" xfId="11536" xr:uid="{7AAADDE1-C707-4F89-B06A-4FC3E55FAADF}"/>
    <cellStyle name="Normal 4 6 4 6" xfId="2557" xr:uid="{00000000-0005-0000-0000-00008C160000}"/>
    <cellStyle name="Normal 4 6 4 6 2" xfId="6840" xr:uid="{00000000-0005-0000-0000-00008D160000}"/>
    <cellStyle name="Normal 4 6 4 6 2 2" xfId="16166" xr:uid="{25DEB37A-CE0B-4037-A078-30B659E0BFD9}"/>
    <cellStyle name="Normal 4 6 4 6 3" xfId="11949" xr:uid="{6301D62C-1633-4FCE-B04C-847B2A847034}"/>
    <cellStyle name="Normal 4 6 4 7" xfId="4775" xr:uid="{00000000-0005-0000-0000-00008E160000}"/>
    <cellStyle name="Normal 4 6 4 7 2" xfId="14101" xr:uid="{A270E074-83C1-40D1-81AA-2B02FE84D70B}"/>
    <cellStyle name="Normal 4 6 4 8" xfId="8979" xr:uid="{358D1440-F461-4509-8416-8F78F7D13FF4}"/>
    <cellStyle name="Normal 4 6 4 9" xfId="9884" xr:uid="{E05DB9B8-AE81-40B3-8F50-151BB9FCE4E7}"/>
    <cellStyle name="Normal 4 6 5" xfId="869" xr:uid="{00000000-0005-0000-0000-00008F160000}"/>
    <cellStyle name="Normal 4 6 5 2" xfId="3104" xr:uid="{00000000-0005-0000-0000-000090160000}"/>
    <cellStyle name="Normal 4 6 5 2 2" xfId="7326" xr:uid="{00000000-0005-0000-0000-000091160000}"/>
    <cellStyle name="Normal 4 6 5 2 2 2" xfId="16652" xr:uid="{8DD404AF-8293-4FAD-A441-58F1FF4F35F1}"/>
    <cellStyle name="Normal 4 6 5 2 3" xfId="12435" xr:uid="{F9F781AB-2208-4346-8F5C-E6137AF0DC9A}"/>
    <cellStyle name="Normal 4 6 5 3" xfId="5181" xr:uid="{00000000-0005-0000-0000-000092160000}"/>
    <cellStyle name="Normal 4 6 5 3 2" xfId="14507" xr:uid="{1A50BAFF-25A7-41EC-B8E5-D68EEABF76BE}"/>
    <cellStyle name="Normal 4 6 5 4" xfId="9196" xr:uid="{8DF5D81E-BEC3-4373-A99C-2D9CDEEBBA3C}"/>
    <cellStyle name="Normal 4 6 5 5" xfId="10290" xr:uid="{01D33098-4F0A-4CE6-8657-5997565B68E0}"/>
    <cellStyle name="Normal 4 6 6" xfId="1287" xr:uid="{00000000-0005-0000-0000-000093160000}"/>
    <cellStyle name="Normal 4 6 6 2" xfId="3517" xr:uid="{00000000-0005-0000-0000-000094160000}"/>
    <cellStyle name="Normal 4 6 6 2 2" xfId="7739" xr:uid="{00000000-0005-0000-0000-000095160000}"/>
    <cellStyle name="Normal 4 6 6 2 2 2" xfId="17065" xr:uid="{55586046-38DD-40FA-AF40-78A4EA534D6E}"/>
    <cellStyle name="Normal 4 6 6 2 3" xfId="12848" xr:uid="{E9231914-3706-4200-81BC-0B82C0A7E0E5}"/>
    <cellStyle name="Normal 4 6 6 3" xfId="5594" xr:uid="{00000000-0005-0000-0000-000096160000}"/>
    <cellStyle name="Normal 4 6 6 3 2" xfId="14920" xr:uid="{560A9ACE-DB1E-4BA7-92BE-59134E28CCC4}"/>
    <cellStyle name="Normal 4 6 6 4" xfId="10703" xr:uid="{703E8BF7-D51C-4318-84A5-5BE06FBF2F75}"/>
    <cellStyle name="Normal 4 6 7" xfId="1700" xr:uid="{00000000-0005-0000-0000-000097160000}"/>
    <cellStyle name="Normal 4 6 7 2" xfId="3930" xr:uid="{00000000-0005-0000-0000-000098160000}"/>
    <cellStyle name="Normal 4 6 7 2 2" xfId="8152" xr:uid="{00000000-0005-0000-0000-000099160000}"/>
    <cellStyle name="Normal 4 6 7 2 2 2" xfId="17478" xr:uid="{B43AD3F4-5578-460F-A7B4-396AFFEC35F7}"/>
    <cellStyle name="Normal 4 6 7 2 3" xfId="13261" xr:uid="{62FD9343-16FA-4CD0-BA04-1E6A96DA0AEE}"/>
    <cellStyle name="Normal 4 6 7 3" xfId="6007" xr:uid="{00000000-0005-0000-0000-00009A160000}"/>
    <cellStyle name="Normal 4 6 7 3 2" xfId="15333" xr:uid="{4A0B1C53-B922-415B-878F-BA3B116048D1}"/>
    <cellStyle name="Normal 4 6 7 4" xfId="11116" xr:uid="{CDE70F50-48FD-4DD1-B002-7E34481B40A4}"/>
    <cellStyle name="Normal 4 6 8" xfId="2114" xr:uid="{00000000-0005-0000-0000-00009B160000}"/>
    <cellStyle name="Normal 4 6 8 2" xfId="4343" xr:uid="{00000000-0005-0000-0000-00009C160000}"/>
    <cellStyle name="Normal 4 6 8 2 2" xfId="8565" xr:uid="{00000000-0005-0000-0000-00009D160000}"/>
    <cellStyle name="Normal 4 6 8 2 2 2" xfId="17891" xr:uid="{3092B490-F06D-47E3-B232-292E5C3C35A0}"/>
    <cellStyle name="Normal 4 6 8 2 3" xfId="13674" xr:uid="{E7889B80-F2F1-4DB9-A7CC-37115D794154}"/>
    <cellStyle name="Normal 4 6 8 3" xfId="6420" xr:uid="{00000000-0005-0000-0000-00009E160000}"/>
    <cellStyle name="Normal 4 6 8 3 2" xfId="15746" xr:uid="{B9DD5B2F-94FD-4B99-B11D-6D23D002825E}"/>
    <cellStyle name="Normal 4 6 8 4" xfId="11529" xr:uid="{FF021C53-4A0D-4E08-B971-18787708FBF5}"/>
    <cellStyle name="Normal 4 6 9" xfId="2550" xr:uid="{00000000-0005-0000-0000-00009F160000}"/>
    <cellStyle name="Normal 4 6 9 2" xfId="6833" xr:uid="{00000000-0005-0000-0000-0000A0160000}"/>
    <cellStyle name="Normal 4 6 9 2 2" xfId="16159" xr:uid="{2171F6B4-1851-4F33-A820-1EB992BB7BC8}"/>
    <cellStyle name="Normal 4 6 9 3" xfId="11942" xr:uid="{5D13040D-2446-42C0-8B82-3CC68CAA97B7}"/>
    <cellStyle name="Normal 4 7" xfId="403" xr:uid="{00000000-0005-0000-0000-0000A1160000}"/>
    <cellStyle name="Normal 4 7 10" xfId="9885" xr:uid="{88BDD7B3-7E3B-4847-ADF3-C7132EF209DC}"/>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400CFBD9-F173-4742-8BBD-C9A32BF90677}"/>
    <cellStyle name="Normal 4 7 2 2 2 3" xfId="12444" xr:uid="{D9408CBE-B548-461A-AD8D-1F5E848B1145}"/>
    <cellStyle name="Normal 4 7 2 2 3" xfId="5190" xr:uid="{00000000-0005-0000-0000-0000A6160000}"/>
    <cellStyle name="Normal 4 7 2 2 3 2" xfId="14516" xr:uid="{A96919E6-9425-4C37-85E6-2FAA328986B2}"/>
    <cellStyle name="Normal 4 7 2 2 4" xfId="9475" xr:uid="{1E309EF6-7D7C-4A4D-B2F1-E00D0CF6E167}"/>
    <cellStyle name="Normal 4 7 2 2 5" xfId="10299" xr:uid="{477CFA24-A987-4DD7-8DE7-647BF3024AE8}"/>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7FC2EF6A-D85D-4E28-A43D-62B2DF9906F0}"/>
    <cellStyle name="Normal 4 7 2 3 2 3" xfId="12857" xr:uid="{A4445667-2D5A-4169-9176-18A6928B5834}"/>
    <cellStyle name="Normal 4 7 2 3 3" xfId="5603" xr:uid="{00000000-0005-0000-0000-0000AA160000}"/>
    <cellStyle name="Normal 4 7 2 3 3 2" xfId="14929" xr:uid="{733417B6-563C-4452-AE10-D5FA793EB8CD}"/>
    <cellStyle name="Normal 4 7 2 3 4" xfId="10712" xr:uid="{60C37D08-259D-4018-8F94-0673F62C1A37}"/>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18D30B2D-E7CF-4908-AFF2-DFDF7A0EEEFC}"/>
    <cellStyle name="Normal 4 7 2 4 2 3" xfId="13270" xr:uid="{86538051-2A83-4F25-AA4B-EDD018D4FDE6}"/>
    <cellStyle name="Normal 4 7 2 4 3" xfId="6016" xr:uid="{00000000-0005-0000-0000-0000AE160000}"/>
    <cellStyle name="Normal 4 7 2 4 3 2" xfId="15342" xr:uid="{71C04A9E-6CAE-4C9E-BC52-9DDCA4001CDF}"/>
    <cellStyle name="Normal 4 7 2 4 4" xfId="11125" xr:uid="{105C374D-4B84-41AA-9EC2-1AC70740D70A}"/>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D58A37CB-AFA6-4E79-B999-96E693C8F93F}"/>
    <cellStyle name="Normal 4 7 2 5 2 3" xfId="13683" xr:uid="{5D773BED-7C40-41D9-A92E-5A11B3D9245E}"/>
    <cellStyle name="Normal 4 7 2 5 3" xfId="6429" xr:uid="{00000000-0005-0000-0000-0000B2160000}"/>
    <cellStyle name="Normal 4 7 2 5 3 2" xfId="15755" xr:uid="{CED3BD5C-25D9-4121-826B-0369022B696A}"/>
    <cellStyle name="Normal 4 7 2 5 4" xfId="11538" xr:uid="{60013655-A734-41E4-9D24-7F874F03F6B3}"/>
    <cellStyle name="Normal 4 7 2 6" xfId="2559" xr:uid="{00000000-0005-0000-0000-0000B3160000}"/>
    <cellStyle name="Normal 4 7 2 6 2" xfId="6842" xr:uid="{00000000-0005-0000-0000-0000B4160000}"/>
    <cellStyle name="Normal 4 7 2 6 2 2" xfId="16168" xr:uid="{2B6DC782-2120-4E88-B8F4-CC6A6C9F2E55}"/>
    <cellStyle name="Normal 4 7 2 6 3" xfId="11951" xr:uid="{10AD5F01-3E5F-4A00-871E-0DA23163C937}"/>
    <cellStyle name="Normal 4 7 2 7" xfId="4777" xr:uid="{00000000-0005-0000-0000-0000B5160000}"/>
    <cellStyle name="Normal 4 7 2 7 2" xfId="14103" xr:uid="{253B7153-85E5-4C05-B016-DCF361ECFAB9}"/>
    <cellStyle name="Normal 4 7 2 8" xfId="9050" xr:uid="{C18A0BCD-6C40-47C4-AC72-E06914F008F6}"/>
    <cellStyle name="Normal 4 7 2 9" xfId="9886" xr:uid="{AE6A4CD0-3DAE-429C-AE57-0E7C2DCE5231}"/>
    <cellStyle name="Normal 4 7 3" xfId="877" xr:uid="{00000000-0005-0000-0000-0000B6160000}"/>
    <cellStyle name="Normal 4 7 3 2" xfId="3112" xr:uid="{00000000-0005-0000-0000-0000B7160000}"/>
    <cellStyle name="Normal 4 7 3 2 2" xfId="7334" xr:uid="{00000000-0005-0000-0000-0000B8160000}"/>
    <cellStyle name="Normal 4 7 3 2 2 2" xfId="16660" xr:uid="{DB11F04C-D73D-47A6-ACF5-BA21A8D09D27}"/>
    <cellStyle name="Normal 4 7 3 2 3" xfId="12443" xr:uid="{272C1A69-0725-4AD1-B655-71F36CF0F1ED}"/>
    <cellStyle name="Normal 4 7 3 3" xfId="5189" xr:uid="{00000000-0005-0000-0000-0000B9160000}"/>
    <cellStyle name="Normal 4 7 3 3 2" xfId="14515" xr:uid="{5A7C434E-C81D-4933-A14D-AC65BDF67E9A}"/>
    <cellStyle name="Normal 4 7 3 4" xfId="9268" xr:uid="{83DA99B2-5D77-4110-AEB9-304D3ECEF3EB}"/>
    <cellStyle name="Normal 4 7 3 5" xfId="10298" xr:uid="{94FB4C6B-18E1-449D-A40A-FA5BE8A241A1}"/>
    <cellStyle name="Normal 4 7 4" xfId="1295" xr:uid="{00000000-0005-0000-0000-0000BA160000}"/>
    <cellStyle name="Normal 4 7 4 2" xfId="3525" xr:uid="{00000000-0005-0000-0000-0000BB160000}"/>
    <cellStyle name="Normal 4 7 4 2 2" xfId="7747" xr:uid="{00000000-0005-0000-0000-0000BC160000}"/>
    <cellStyle name="Normal 4 7 4 2 2 2" xfId="17073" xr:uid="{DD3244D8-17A1-4B5E-881A-3A29A583BF6E}"/>
    <cellStyle name="Normal 4 7 4 2 3" xfId="12856" xr:uid="{2EA64084-4C50-445D-926D-0FB509AD99B7}"/>
    <cellStyle name="Normal 4 7 4 3" xfId="5602" xr:uid="{00000000-0005-0000-0000-0000BD160000}"/>
    <cellStyle name="Normal 4 7 4 3 2" xfId="14928" xr:uid="{3AD5C3A3-4FDA-4696-B98A-733263B48A2F}"/>
    <cellStyle name="Normal 4 7 4 4" xfId="10711" xr:uid="{761E0B72-7939-4E99-A258-6B6ABD82FFF1}"/>
    <cellStyle name="Normal 4 7 5" xfId="1708" xr:uid="{00000000-0005-0000-0000-0000BE160000}"/>
    <cellStyle name="Normal 4 7 5 2" xfId="3938" xr:uid="{00000000-0005-0000-0000-0000BF160000}"/>
    <cellStyle name="Normal 4 7 5 2 2" xfId="8160" xr:uid="{00000000-0005-0000-0000-0000C0160000}"/>
    <cellStyle name="Normal 4 7 5 2 2 2" xfId="17486" xr:uid="{31A91D28-77BD-4A77-A8FE-A3B2BED1FEE8}"/>
    <cellStyle name="Normal 4 7 5 2 3" xfId="13269" xr:uid="{DA8579C1-DAF8-40DE-95C1-FADE4314527A}"/>
    <cellStyle name="Normal 4 7 5 3" xfId="6015" xr:uid="{00000000-0005-0000-0000-0000C1160000}"/>
    <cellStyle name="Normal 4 7 5 3 2" xfId="15341" xr:uid="{E332FB21-6CC6-4100-849F-B0FB04EA02F0}"/>
    <cellStyle name="Normal 4 7 5 4" xfId="11124" xr:uid="{D1139A74-42FC-408D-A979-36D4AA2A8841}"/>
    <cellStyle name="Normal 4 7 6" xfId="2122" xr:uid="{00000000-0005-0000-0000-0000C2160000}"/>
    <cellStyle name="Normal 4 7 6 2" xfId="4351" xr:uid="{00000000-0005-0000-0000-0000C3160000}"/>
    <cellStyle name="Normal 4 7 6 2 2" xfId="8573" xr:uid="{00000000-0005-0000-0000-0000C4160000}"/>
    <cellStyle name="Normal 4 7 6 2 2 2" xfId="17899" xr:uid="{6B5E9FBD-912C-43BF-AABC-A5A71141564B}"/>
    <cellStyle name="Normal 4 7 6 2 3" xfId="13682" xr:uid="{005AF8BF-A1D9-4BBC-9047-361885DACE9A}"/>
    <cellStyle name="Normal 4 7 6 3" xfId="6428" xr:uid="{00000000-0005-0000-0000-0000C5160000}"/>
    <cellStyle name="Normal 4 7 6 3 2" xfId="15754" xr:uid="{6D9D726B-4E00-45A5-9558-E62FD5365545}"/>
    <cellStyle name="Normal 4 7 6 4" xfId="11537" xr:uid="{CC74E218-3545-44D3-A608-CA5AAECF1CA2}"/>
    <cellStyle name="Normal 4 7 7" xfId="2558" xr:uid="{00000000-0005-0000-0000-0000C6160000}"/>
    <cellStyle name="Normal 4 7 7 2" xfId="6841" xr:uid="{00000000-0005-0000-0000-0000C7160000}"/>
    <cellStyle name="Normal 4 7 7 2 2" xfId="16167" xr:uid="{CEA62B74-EE0D-414C-A275-F16B47B69976}"/>
    <cellStyle name="Normal 4 7 7 3" xfId="11950" xr:uid="{D72E0305-F360-4895-8407-0C19D28E09DE}"/>
    <cellStyle name="Normal 4 7 8" xfId="4776" xr:uid="{00000000-0005-0000-0000-0000C8160000}"/>
    <cellStyle name="Normal 4 7 8 2" xfId="14102" xr:uid="{79C094E0-36AD-4324-9C23-80CBA88986D4}"/>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9A0F7F7E-8336-47A6-B977-625E91782C64}"/>
    <cellStyle name="Normal 4 8 2 2 3" xfId="12445" xr:uid="{674AF899-A7DB-4B84-8525-0D9764636A8E}"/>
    <cellStyle name="Normal 4 8 2 3" xfId="5191" xr:uid="{00000000-0005-0000-0000-0000CD160000}"/>
    <cellStyle name="Normal 4 8 2 3 2" xfId="14517" xr:uid="{E307DD32-16EC-4A16-A52F-860C69C89B99}"/>
    <cellStyle name="Normal 4 8 2 4" xfId="9384" xr:uid="{6351F1DA-E485-4044-8429-C0AE76E79EEE}"/>
    <cellStyle name="Normal 4 8 2 5" xfId="10300" xr:uid="{011DC7BF-0CE5-4DCB-BAB4-14C0A2767CD7}"/>
    <cellStyle name="Normal 4 8 3" xfId="1297" xr:uid="{00000000-0005-0000-0000-0000CE160000}"/>
    <cellStyle name="Normal 4 8 3 2" xfId="3527" xr:uid="{00000000-0005-0000-0000-0000CF160000}"/>
    <cellStyle name="Normal 4 8 3 2 2" xfId="7749" xr:uid="{00000000-0005-0000-0000-0000D0160000}"/>
    <cellStyle name="Normal 4 8 3 2 2 2" xfId="17075" xr:uid="{1F4FFC37-B6F8-4BE0-B269-59654BBAA2DF}"/>
    <cellStyle name="Normal 4 8 3 2 3" xfId="12858" xr:uid="{B9F4AECE-8184-4891-8790-260678D6641D}"/>
    <cellStyle name="Normal 4 8 3 3" xfId="5604" xr:uid="{00000000-0005-0000-0000-0000D1160000}"/>
    <cellStyle name="Normal 4 8 3 3 2" xfId="14930" xr:uid="{8825E5B4-13DF-4217-88C8-A05C277445C4}"/>
    <cellStyle name="Normal 4 8 3 4" xfId="10713" xr:uid="{5F6F8D07-11F8-4432-9F95-E9094ECC61FE}"/>
    <cellStyle name="Normal 4 8 4" xfId="1710" xr:uid="{00000000-0005-0000-0000-0000D2160000}"/>
    <cellStyle name="Normal 4 8 4 2" xfId="3940" xr:uid="{00000000-0005-0000-0000-0000D3160000}"/>
    <cellStyle name="Normal 4 8 4 2 2" xfId="8162" xr:uid="{00000000-0005-0000-0000-0000D4160000}"/>
    <cellStyle name="Normal 4 8 4 2 2 2" xfId="17488" xr:uid="{21CEEA79-ADED-4078-9BB6-4C11DE4344FE}"/>
    <cellStyle name="Normal 4 8 4 2 3" xfId="13271" xr:uid="{2A424625-2D0A-4F3C-9340-D05E65D5F3F9}"/>
    <cellStyle name="Normal 4 8 4 3" xfId="6017" xr:uid="{00000000-0005-0000-0000-0000D5160000}"/>
    <cellStyle name="Normal 4 8 4 3 2" xfId="15343" xr:uid="{C0E2B5DD-ED6F-4B09-901B-742C4E36B3BC}"/>
    <cellStyle name="Normal 4 8 4 4" xfId="11126" xr:uid="{31299F3F-165C-40C4-911E-70BF8BB0267F}"/>
    <cellStyle name="Normal 4 8 5" xfId="2124" xr:uid="{00000000-0005-0000-0000-0000D6160000}"/>
    <cellStyle name="Normal 4 8 5 2" xfId="4353" xr:uid="{00000000-0005-0000-0000-0000D7160000}"/>
    <cellStyle name="Normal 4 8 5 2 2" xfId="8575" xr:uid="{00000000-0005-0000-0000-0000D8160000}"/>
    <cellStyle name="Normal 4 8 5 2 2 2" xfId="17901" xr:uid="{1B820BFB-1330-41E7-83FE-944FF76CF4F6}"/>
    <cellStyle name="Normal 4 8 5 2 3" xfId="13684" xr:uid="{C7CAAE41-0603-4ABA-9F78-FD143C165249}"/>
    <cellStyle name="Normal 4 8 5 3" xfId="6430" xr:uid="{00000000-0005-0000-0000-0000D9160000}"/>
    <cellStyle name="Normal 4 8 5 3 2" xfId="15756" xr:uid="{CF76274C-F652-4751-B072-D6062607C641}"/>
    <cellStyle name="Normal 4 8 5 4" xfId="11539" xr:uid="{1B843E46-EB3A-4F42-9BF1-BAA4BEBA5F76}"/>
    <cellStyle name="Normal 4 8 6" xfId="2560" xr:uid="{00000000-0005-0000-0000-0000DA160000}"/>
    <cellStyle name="Normal 4 8 6 2" xfId="6843" xr:uid="{00000000-0005-0000-0000-0000DB160000}"/>
    <cellStyle name="Normal 4 8 6 2 2" xfId="16169" xr:uid="{190B8177-C3F7-41E5-9255-52D09DBDCEA8}"/>
    <cellStyle name="Normal 4 8 6 3" xfId="11952" xr:uid="{3F3647BF-7950-426F-9BDC-E8586732C9DF}"/>
    <cellStyle name="Normal 4 8 7" xfId="4778" xr:uid="{00000000-0005-0000-0000-0000DC160000}"/>
    <cellStyle name="Normal 4 8 7 2" xfId="14104" xr:uid="{59B00B53-68D8-451A-ACFA-948FAA464ECB}"/>
    <cellStyle name="Normal 4 8 8" xfId="8959" xr:uid="{E3216EF3-66EB-48FF-967C-A258B3C3F4FF}"/>
    <cellStyle name="Normal 4 8 9" xfId="9887" xr:uid="{BFBA2B5C-3098-478D-B739-6C1CE7833636}"/>
    <cellStyle name="Normal 4 9" xfId="4715" xr:uid="{00000000-0005-0000-0000-0000DD160000}"/>
    <cellStyle name="Normal 4 9 2" xfId="9162" xr:uid="{BC355FAB-4557-4712-A03F-EB5522B29E6A}"/>
    <cellStyle name="Normal 4 9 3" xfId="14041" xr:uid="{4365009D-1C75-4101-B883-4AA1BD8909FF}"/>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3F9985A8-99E5-40F3-8E42-15557EFCF082}"/>
    <cellStyle name="Normal 5 10 2 3" xfId="13272" xr:uid="{AAB96EC1-CF44-43B6-B858-926F401BAE73}"/>
    <cellStyle name="Normal 5 10 3" xfId="6018" xr:uid="{00000000-0005-0000-0000-0000E2160000}"/>
    <cellStyle name="Normal 5 10 3 2" xfId="15344" xr:uid="{6FD1C1D3-2871-430F-85E1-A20EBBA598E3}"/>
    <cellStyle name="Normal 5 10 4" xfId="11127" xr:uid="{E253B3A0-5C7D-4D6B-B7CC-C323843B8BB2}"/>
    <cellStyle name="Normal 5 11" xfId="2125" xr:uid="{00000000-0005-0000-0000-0000E3160000}"/>
    <cellStyle name="Normal 5 11 2" xfId="4354" xr:uid="{00000000-0005-0000-0000-0000E4160000}"/>
    <cellStyle name="Normal 5 11 2 2" xfId="8576" xr:uid="{00000000-0005-0000-0000-0000E5160000}"/>
    <cellStyle name="Normal 5 11 2 2 2" xfId="17902" xr:uid="{B341EF00-41A0-4331-A670-289F9DC42B9B}"/>
    <cellStyle name="Normal 5 11 2 3" xfId="13685" xr:uid="{B7217310-E2A0-45C2-9AAE-2557F8913F96}"/>
    <cellStyle name="Normal 5 11 3" xfId="6431" xr:uid="{00000000-0005-0000-0000-0000E6160000}"/>
    <cellStyle name="Normal 5 11 3 2" xfId="15757" xr:uid="{5AB1B9ED-FA62-4B91-9A75-6DAD438685CD}"/>
    <cellStyle name="Normal 5 11 4" xfId="11540" xr:uid="{372DF580-0CA9-4776-9380-EE66EF45E45C}"/>
    <cellStyle name="Normal 5 12" xfId="2561" xr:uid="{00000000-0005-0000-0000-0000E7160000}"/>
    <cellStyle name="Normal 5 12 2" xfId="6844" xr:uid="{00000000-0005-0000-0000-0000E8160000}"/>
    <cellStyle name="Normal 5 12 2 2" xfId="16170" xr:uid="{CE23359D-E437-4369-94FC-E0446705B732}"/>
    <cellStyle name="Normal 5 12 3" xfId="11953" xr:uid="{A437F27E-4DEC-4D71-86CD-EDC2AAD89965}"/>
    <cellStyle name="Normal 5 13" xfId="4779" xr:uid="{00000000-0005-0000-0000-0000E9160000}"/>
    <cellStyle name="Normal 5 13 2" xfId="14105" xr:uid="{68F4307A-074F-4C10-8C9E-E59A9588F335}"/>
    <cellStyle name="Normal 5 14" xfId="8741" xr:uid="{6467398C-BC57-47BF-AF01-9B3356F8431F}"/>
    <cellStyle name="Normal 5 15" xfId="9888" xr:uid="{F91CB143-9955-4989-A684-6477B08D0E6B}"/>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E4665B02-7849-41BE-9DF6-3849C45FBA5E}"/>
    <cellStyle name="Normal 5 2 10 2 3" xfId="13686" xr:uid="{C68F55C4-BEA9-471F-8F05-EE6079E28912}"/>
    <cellStyle name="Normal 5 2 10 3" xfId="6432" xr:uid="{00000000-0005-0000-0000-0000EE160000}"/>
    <cellStyle name="Normal 5 2 10 3 2" xfId="15758" xr:uid="{B5B8B0C0-7EFB-4F0E-A517-26DD3FEEA81A}"/>
    <cellStyle name="Normal 5 2 10 4" xfId="11541" xr:uid="{6B808508-57F8-4CFF-8D5E-81823E7872D9}"/>
    <cellStyle name="Normal 5 2 11" xfId="2562" xr:uid="{00000000-0005-0000-0000-0000EF160000}"/>
    <cellStyle name="Normal 5 2 11 2" xfId="6845" xr:uid="{00000000-0005-0000-0000-0000F0160000}"/>
    <cellStyle name="Normal 5 2 11 2 2" xfId="16171" xr:uid="{B56792A8-5ECD-4BBF-8753-4A09624004BC}"/>
    <cellStyle name="Normal 5 2 11 3" xfId="11954" xr:uid="{86A150A6-F0A1-4DBE-B7E6-8F04BF7E01C8}"/>
    <cellStyle name="Normal 5 2 12" xfId="4780" xr:uid="{00000000-0005-0000-0000-0000F1160000}"/>
    <cellStyle name="Normal 5 2 12 2" xfId="14106" xr:uid="{FB272406-DA14-47C6-98BC-BCFFE2AE36CE}"/>
    <cellStyle name="Normal 5 2 13" xfId="8744" xr:uid="{40D5DF2B-E9DF-4D52-AAE0-3E5A94050B59}"/>
    <cellStyle name="Normal 5 2 14" xfId="9889" xr:uid="{71725EC1-0014-458D-BB90-2DAE93341461}"/>
    <cellStyle name="Normal 5 2 2" xfId="408" xr:uid="{00000000-0005-0000-0000-0000F2160000}"/>
    <cellStyle name="Normal 5 2 2 10" xfId="2563" xr:uid="{00000000-0005-0000-0000-0000F3160000}"/>
    <cellStyle name="Normal 5 2 2 10 2" xfId="6846" xr:uid="{00000000-0005-0000-0000-0000F4160000}"/>
    <cellStyle name="Normal 5 2 2 10 2 2" xfId="16172" xr:uid="{AED8BF61-B9FB-493E-9F73-AD52AF56B6AD}"/>
    <cellStyle name="Normal 5 2 2 10 3" xfId="11955" xr:uid="{3F07AECE-1A7F-4D8A-80D0-29C1A8B8E720}"/>
    <cellStyle name="Normal 5 2 2 11" xfId="4781" xr:uid="{00000000-0005-0000-0000-0000F5160000}"/>
    <cellStyle name="Normal 5 2 2 11 2" xfId="14107" xr:uid="{C326C9EE-8F37-4DF7-9F82-48AF4F6CD8C8}"/>
    <cellStyle name="Normal 5 2 2 12" xfId="8753" xr:uid="{96D04E2F-D92F-448D-9FDA-8261D8BEE094}"/>
    <cellStyle name="Normal 5 2 2 13" xfId="9890" xr:uid="{5444465A-B4F1-4CD8-88E2-33B3A84DD8E7}"/>
    <cellStyle name="Normal 5 2 2 2" xfId="409" xr:uid="{00000000-0005-0000-0000-0000F6160000}"/>
    <cellStyle name="Normal 5 2 2 2 10" xfId="4782" xr:uid="{00000000-0005-0000-0000-0000F7160000}"/>
    <cellStyle name="Normal 5 2 2 2 10 2" xfId="14108" xr:uid="{E4601550-C6B2-4E0D-B20A-FD407925F316}"/>
    <cellStyle name="Normal 5 2 2 2 11" xfId="8771" xr:uid="{0E58ED1C-12F1-4692-801F-170CA6F7CBDB}"/>
    <cellStyle name="Normal 5 2 2 2 12" xfId="9891" xr:uid="{AD467DA8-CD40-4705-B8D4-97D845AFAE84}"/>
    <cellStyle name="Normal 5 2 2 2 2" xfId="410" xr:uid="{00000000-0005-0000-0000-0000F8160000}"/>
    <cellStyle name="Normal 5 2 2 2 2 10" xfId="8829" xr:uid="{AC161972-21E9-4E03-8D2E-9F95632CB08D}"/>
    <cellStyle name="Normal 5 2 2 2 2 11" xfId="9892" xr:uid="{798DCEAF-37A6-4F55-B8D0-599FCE5FFC08}"/>
    <cellStyle name="Normal 5 2 2 2 2 2" xfId="411" xr:uid="{00000000-0005-0000-0000-0000F9160000}"/>
    <cellStyle name="Normal 5 2 2 2 2 2 10" xfId="9893" xr:uid="{4B7560E9-4BC0-43D9-8CB5-637CFF3DA2D3}"/>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1422E747-E8B9-4AEE-AB94-9E6CCD1798F6}"/>
    <cellStyle name="Normal 5 2 2 2 2 2 2 2 2 3" xfId="12452" xr:uid="{8F8DBD4D-C795-4014-BB8D-BAB48AAB17D2}"/>
    <cellStyle name="Normal 5 2 2 2 2 2 2 2 3" xfId="5198" xr:uid="{00000000-0005-0000-0000-0000FE160000}"/>
    <cellStyle name="Normal 5 2 2 2 2 2 2 2 3 2" xfId="14524" xr:uid="{750327A0-BD1A-4D69-BE27-85D8DD12F92C}"/>
    <cellStyle name="Normal 5 2 2 2 2 2 2 2 4" xfId="9564" xr:uid="{15884BE4-44C0-46E7-A184-FC102AAADEB4}"/>
    <cellStyle name="Normal 5 2 2 2 2 2 2 2 5" xfId="10307" xr:uid="{12012D43-C474-452C-B0B6-DF3D5635D505}"/>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E235E234-3908-426D-B6F4-BE39C522570C}"/>
    <cellStyle name="Normal 5 2 2 2 2 2 2 3 2 3" xfId="12865" xr:uid="{756CBD7C-5FE7-4D37-987B-B4B53214F9B2}"/>
    <cellStyle name="Normal 5 2 2 2 2 2 2 3 3" xfId="5611" xr:uid="{00000000-0005-0000-0000-000002170000}"/>
    <cellStyle name="Normal 5 2 2 2 2 2 2 3 3 2" xfId="14937" xr:uid="{48038815-1FB2-4830-9698-19A6B092E4D0}"/>
    <cellStyle name="Normal 5 2 2 2 2 2 2 3 4" xfId="10720" xr:uid="{04B8C5EB-D3FF-4D72-AF33-9E01680932D6}"/>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B0A1A77B-98B4-4385-9C91-DB02CC8E982E}"/>
    <cellStyle name="Normal 5 2 2 2 2 2 2 4 2 3" xfId="13278" xr:uid="{003872AD-EA51-4F0B-B933-DECA22EFAD1B}"/>
    <cellStyle name="Normal 5 2 2 2 2 2 2 4 3" xfId="6024" xr:uid="{00000000-0005-0000-0000-000006170000}"/>
    <cellStyle name="Normal 5 2 2 2 2 2 2 4 3 2" xfId="15350" xr:uid="{30188DC6-8E4B-4101-85D2-82307B25F35F}"/>
    <cellStyle name="Normal 5 2 2 2 2 2 2 4 4" xfId="11133" xr:uid="{E69BFF87-66DD-4FD2-B955-D7868BE5F863}"/>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4640D1F5-701F-46C4-A8D3-04C37DBB2EE8}"/>
    <cellStyle name="Normal 5 2 2 2 2 2 2 5 2 3" xfId="13691" xr:uid="{4BF33C89-792E-4520-8667-63B6B7FB29CB}"/>
    <cellStyle name="Normal 5 2 2 2 2 2 2 5 3" xfId="6437" xr:uid="{00000000-0005-0000-0000-00000A170000}"/>
    <cellStyle name="Normal 5 2 2 2 2 2 2 5 3 2" xfId="15763" xr:uid="{5F09A392-8FE2-48FD-AEE6-48767FBB65CD}"/>
    <cellStyle name="Normal 5 2 2 2 2 2 2 5 4" xfId="11546" xr:uid="{B8D7684E-0E86-4E5B-8521-C7017D3DABDB}"/>
    <cellStyle name="Normal 5 2 2 2 2 2 2 6" xfId="2567" xr:uid="{00000000-0005-0000-0000-00000B170000}"/>
    <cellStyle name="Normal 5 2 2 2 2 2 2 6 2" xfId="6850" xr:uid="{00000000-0005-0000-0000-00000C170000}"/>
    <cellStyle name="Normal 5 2 2 2 2 2 2 6 2 2" xfId="16176" xr:uid="{A175645F-24B2-4C42-BAC1-8447FA911678}"/>
    <cellStyle name="Normal 5 2 2 2 2 2 2 6 3" xfId="11959" xr:uid="{087B9E1D-952E-4295-97A9-B535F7E27C3A}"/>
    <cellStyle name="Normal 5 2 2 2 2 2 2 7" xfId="4785" xr:uid="{00000000-0005-0000-0000-00000D170000}"/>
    <cellStyle name="Normal 5 2 2 2 2 2 2 7 2" xfId="14111" xr:uid="{8432E33B-01EC-4028-914C-65B3AB36E056}"/>
    <cellStyle name="Normal 5 2 2 2 2 2 2 8" xfId="9139" xr:uid="{CFCC7179-F81D-4929-81F2-C6E64655A093}"/>
    <cellStyle name="Normal 5 2 2 2 2 2 2 9" xfId="9894" xr:uid="{40742724-AB39-4D90-B784-9046E8ED4CDB}"/>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CE98D3EE-A4BF-471C-A4F0-5839ABF7B992}"/>
    <cellStyle name="Normal 5 2 2 2 2 2 3 2 3" xfId="12451" xr:uid="{86C852BF-228A-425E-B23C-B128329F044D}"/>
    <cellStyle name="Normal 5 2 2 2 2 2 3 3" xfId="5197" xr:uid="{00000000-0005-0000-0000-000011170000}"/>
    <cellStyle name="Normal 5 2 2 2 2 2 3 3 2" xfId="14523" xr:uid="{3F0FF706-CC57-44EF-B0E1-4A9ACA4BBD46}"/>
    <cellStyle name="Normal 5 2 2 2 2 2 3 4" xfId="9357" xr:uid="{1809EB60-9E69-4954-99A5-643CD830C5FB}"/>
    <cellStyle name="Normal 5 2 2 2 2 2 3 5" xfId="10306" xr:uid="{5476FF79-FEE9-43F6-BD5D-A82417009B98}"/>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D16F41DE-D162-47F8-9934-28558935DA24}"/>
    <cellStyle name="Normal 5 2 2 2 2 2 4 2 3" xfId="12864" xr:uid="{AB84B2EB-C5D1-4EB4-993E-2BB392A3A245}"/>
    <cellStyle name="Normal 5 2 2 2 2 2 4 3" xfId="5610" xr:uid="{00000000-0005-0000-0000-000015170000}"/>
    <cellStyle name="Normal 5 2 2 2 2 2 4 3 2" xfId="14936" xr:uid="{FF87050C-C76D-4F1F-92D4-97AB194F754B}"/>
    <cellStyle name="Normal 5 2 2 2 2 2 4 4" xfId="10719" xr:uid="{E9DE7A94-2F27-4ECD-9383-93F6669205B5}"/>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2DFE5697-DC5B-4395-B6C1-2240A0BD7850}"/>
    <cellStyle name="Normal 5 2 2 2 2 2 5 2 3" xfId="13277" xr:uid="{D16A09D6-5161-4731-A403-3E739F2E3032}"/>
    <cellStyle name="Normal 5 2 2 2 2 2 5 3" xfId="6023" xr:uid="{00000000-0005-0000-0000-000019170000}"/>
    <cellStyle name="Normal 5 2 2 2 2 2 5 3 2" xfId="15349" xr:uid="{5BF5D8E2-84E1-4647-A792-1247EC32C4C0}"/>
    <cellStyle name="Normal 5 2 2 2 2 2 5 4" xfId="11132" xr:uid="{11B27E33-E092-4D6F-BBEF-E7BC1CCF7CBC}"/>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55E08B4A-6695-4FDB-AF70-5AA53461E854}"/>
    <cellStyle name="Normal 5 2 2 2 2 2 6 2 3" xfId="13690" xr:uid="{A970CB1D-B49E-4F70-9353-7DB2609149FC}"/>
    <cellStyle name="Normal 5 2 2 2 2 2 6 3" xfId="6436" xr:uid="{00000000-0005-0000-0000-00001D170000}"/>
    <cellStyle name="Normal 5 2 2 2 2 2 6 3 2" xfId="15762" xr:uid="{23B525F3-86D1-4D90-ADD5-677701873878}"/>
    <cellStyle name="Normal 5 2 2 2 2 2 6 4" xfId="11545" xr:uid="{73E70351-B3DF-4C66-A0E0-7DCE80546239}"/>
    <cellStyle name="Normal 5 2 2 2 2 2 7" xfId="2566" xr:uid="{00000000-0005-0000-0000-00001E170000}"/>
    <cellStyle name="Normal 5 2 2 2 2 2 7 2" xfId="6849" xr:uid="{00000000-0005-0000-0000-00001F170000}"/>
    <cellStyle name="Normal 5 2 2 2 2 2 7 2 2" xfId="16175" xr:uid="{ACF23902-6CF0-4FF2-A2AB-A4BF31D136DF}"/>
    <cellStyle name="Normal 5 2 2 2 2 2 7 3" xfId="11958" xr:uid="{600BAD3F-BFD2-4566-91C9-B0B43FFF653E}"/>
    <cellStyle name="Normal 5 2 2 2 2 2 8" xfId="4784" xr:uid="{00000000-0005-0000-0000-000020170000}"/>
    <cellStyle name="Normal 5 2 2 2 2 2 8 2" xfId="14110" xr:uid="{1DFAA930-2521-4497-AEE3-D6CDD2F3BAB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789AADD5-761C-494F-BF76-9E14C94F3F13}"/>
    <cellStyle name="Normal 5 2 2 2 2 3 2 2 3" xfId="12453" xr:uid="{69335C94-12B6-44B1-86DB-867586573F0F}"/>
    <cellStyle name="Normal 5 2 2 2 2 3 2 3" xfId="5199" xr:uid="{00000000-0005-0000-0000-000025170000}"/>
    <cellStyle name="Normal 5 2 2 2 2 3 2 3 2" xfId="14525" xr:uid="{0CE9025F-411F-415B-93B8-8D82852F519D}"/>
    <cellStyle name="Normal 5 2 2 2 2 3 2 4" xfId="9461" xr:uid="{815E4D9A-ED64-4B6C-A17A-F6D83CC40A47}"/>
    <cellStyle name="Normal 5 2 2 2 2 3 2 5" xfId="10308" xr:uid="{672FE8F4-172C-4B3C-9F10-BF2C25E7A5C5}"/>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A5728671-747E-4F3A-8DE8-764529898894}"/>
    <cellStyle name="Normal 5 2 2 2 2 3 3 2 3" xfId="12866" xr:uid="{7FCCB9D8-13B0-4E35-B7B3-2DD08A5BA6AD}"/>
    <cellStyle name="Normal 5 2 2 2 2 3 3 3" xfId="5612" xr:uid="{00000000-0005-0000-0000-000029170000}"/>
    <cellStyle name="Normal 5 2 2 2 2 3 3 3 2" xfId="14938" xr:uid="{DA792565-FBDC-488B-8A12-E38096E79E1B}"/>
    <cellStyle name="Normal 5 2 2 2 2 3 3 4" xfId="10721" xr:uid="{C6F187BA-C00E-4894-82EA-F5AF93178465}"/>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C9A3CAD0-B867-4368-9E4B-FED3C53F94BD}"/>
    <cellStyle name="Normal 5 2 2 2 2 3 4 2 3" xfId="13279" xr:uid="{510B5B90-9E94-4C18-84B6-1507122D4883}"/>
    <cellStyle name="Normal 5 2 2 2 2 3 4 3" xfId="6025" xr:uid="{00000000-0005-0000-0000-00002D170000}"/>
    <cellStyle name="Normal 5 2 2 2 2 3 4 3 2" xfId="15351" xr:uid="{78F5DEC2-62BA-4F65-A81E-3FB4D4352DBA}"/>
    <cellStyle name="Normal 5 2 2 2 2 3 4 4" xfId="11134" xr:uid="{2D9CDF6E-E94A-4A83-ADCA-9EA5BC1D601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C1C6F551-94B4-4FCB-A6A1-8DDE91BAB3E7}"/>
    <cellStyle name="Normal 5 2 2 2 2 3 5 2 3" xfId="13692" xr:uid="{6334D8F3-63FA-4A75-8863-A7EFD9780D29}"/>
    <cellStyle name="Normal 5 2 2 2 2 3 5 3" xfId="6438" xr:uid="{00000000-0005-0000-0000-000031170000}"/>
    <cellStyle name="Normal 5 2 2 2 2 3 5 3 2" xfId="15764" xr:uid="{11432A90-8B66-4C0F-A6FB-5A3AED50A477}"/>
    <cellStyle name="Normal 5 2 2 2 2 3 5 4" xfId="11547" xr:uid="{ECC036F1-6AB1-401B-98C2-41EAD2ED5062}"/>
    <cellStyle name="Normal 5 2 2 2 2 3 6" xfId="2568" xr:uid="{00000000-0005-0000-0000-000032170000}"/>
    <cellStyle name="Normal 5 2 2 2 2 3 6 2" xfId="6851" xr:uid="{00000000-0005-0000-0000-000033170000}"/>
    <cellStyle name="Normal 5 2 2 2 2 3 6 2 2" xfId="16177" xr:uid="{BE73F921-ADF7-406C-8FCD-12C6D83EF4F7}"/>
    <cellStyle name="Normal 5 2 2 2 2 3 6 3" xfId="11960" xr:uid="{B99906FF-EF5D-4716-A293-06922A098222}"/>
    <cellStyle name="Normal 5 2 2 2 2 3 7" xfId="4786" xr:uid="{00000000-0005-0000-0000-000034170000}"/>
    <cellStyle name="Normal 5 2 2 2 2 3 7 2" xfId="14112" xr:uid="{0DF461E9-5AEE-460E-95D8-B024A7A856CB}"/>
    <cellStyle name="Normal 5 2 2 2 2 3 8" xfId="9036" xr:uid="{2B9BC3AC-900A-42EE-A23F-E5574B6E75BC}"/>
    <cellStyle name="Normal 5 2 2 2 2 3 9" xfId="9895" xr:uid="{7A44582C-8D1C-4E17-A8C7-F817A0929F03}"/>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12B6164B-43A6-4830-A57D-3E8033BCFB23}"/>
    <cellStyle name="Normal 5 2 2 2 2 4 2 3" xfId="12450" xr:uid="{67B59E04-9D61-4E18-AE6B-E3F4701E5467}"/>
    <cellStyle name="Normal 5 2 2 2 2 4 3" xfId="5196" xr:uid="{00000000-0005-0000-0000-000038170000}"/>
    <cellStyle name="Normal 5 2 2 2 2 4 3 2" xfId="14522" xr:uid="{A154DAD6-5655-408C-ADC1-6568C8964C50}"/>
    <cellStyle name="Normal 5 2 2 2 2 4 4" xfId="9254" xr:uid="{B0B4DA0D-4C0F-4712-8BF0-280C2A85D575}"/>
    <cellStyle name="Normal 5 2 2 2 2 4 5" xfId="10305" xr:uid="{B601C809-0800-43FA-B1CF-49C69E89A92B}"/>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CB16A3D0-B83A-42CB-AA95-BE228E308881}"/>
    <cellStyle name="Normal 5 2 2 2 2 5 2 3" xfId="12863" xr:uid="{73D471A6-25FA-4F75-A683-D423CF969554}"/>
    <cellStyle name="Normal 5 2 2 2 2 5 3" xfId="5609" xr:uid="{00000000-0005-0000-0000-00003C170000}"/>
    <cellStyle name="Normal 5 2 2 2 2 5 3 2" xfId="14935" xr:uid="{FD1961D6-C847-446E-8FFE-009BA1C8F137}"/>
    <cellStyle name="Normal 5 2 2 2 2 5 4" xfId="10718" xr:uid="{ACD7109F-AADD-4524-B6E8-0A9624745FC4}"/>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5B6B0AB7-6FA1-4052-A961-9D9C58F2D6B1}"/>
    <cellStyle name="Normal 5 2 2 2 2 6 2 3" xfId="13276" xr:uid="{1714999D-7DD8-474A-9C96-597288A528C2}"/>
    <cellStyle name="Normal 5 2 2 2 2 6 3" xfId="6022" xr:uid="{00000000-0005-0000-0000-000040170000}"/>
    <cellStyle name="Normal 5 2 2 2 2 6 3 2" xfId="15348" xr:uid="{D9F036AE-6932-4BC9-B271-34FF5B2C3808}"/>
    <cellStyle name="Normal 5 2 2 2 2 6 4" xfId="11131" xr:uid="{9E24D3CC-0B55-4D01-AFDF-C39F4579B1AB}"/>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12AFEA66-7083-44A0-84CB-6B16946890EC}"/>
    <cellStyle name="Normal 5 2 2 2 2 7 2 3" xfId="13689" xr:uid="{7EDD7F55-CC55-4587-B0F2-77AC59DECBC5}"/>
    <cellStyle name="Normal 5 2 2 2 2 7 3" xfId="6435" xr:uid="{00000000-0005-0000-0000-000044170000}"/>
    <cellStyle name="Normal 5 2 2 2 2 7 3 2" xfId="15761" xr:uid="{74A2D355-709B-461B-B60F-E8B4D73FF983}"/>
    <cellStyle name="Normal 5 2 2 2 2 7 4" xfId="11544" xr:uid="{6B11C1CF-5F9C-4E1C-ACB1-15C13454BF3A}"/>
    <cellStyle name="Normal 5 2 2 2 2 8" xfId="2565" xr:uid="{00000000-0005-0000-0000-000045170000}"/>
    <cellStyle name="Normal 5 2 2 2 2 8 2" xfId="6848" xr:uid="{00000000-0005-0000-0000-000046170000}"/>
    <cellStyle name="Normal 5 2 2 2 2 8 2 2" xfId="16174" xr:uid="{61263F17-8085-45E8-BB0B-3026060BA43E}"/>
    <cellStyle name="Normal 5 2 2 2 2 8 3" xfId="11957" xr:uid="{86D597BE-6B4B-4222-91B9-8B97FDED117B}"/>
    <cellStyle name="Normal 5 2 2 2 2 9" xfId="4783" xr:uid="{00000000-0005-0000-0000-000047170000}"/>
    <cellStyle name="Normal 5 2 2 2 2 9 2" xfId="14109" xr:uid="{31644323-DCEF-4875-B847-94BF26D8EB2F}"/>
    <cellStyle name="Normal 5 2 2 2 3" xfId="414" xr:uid="{00000000-0005-0000-0000-000048170000}"/>
    <cellStyle name="Normal 5 2 2 2 3 10" xfId="9896" xr:uid="{DD5587A7-5F33-48CD-85A3-C6DDA8982B7B}"/>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F1354EBA-D395-4543-9354-52A41E12672F}"/>
    <cellStyle name="Normal 5 2 2 2 3 2 2 2 3" xfId="12455" xr:uid="{61B78590-8270-483D-8758-7005C74C2E12}"/>
    <cellStyle name="Normal 5 2 2 2 3 2 2 3" xfId="5201" xr:uid="{00000000-0005-0000-0000-00004D170000}"/>
    <cellStyle name="Normal 5 2 2 2 3 2 2 3 2" xfId="14527" xr:uid="{671778D2-715D-4809-8F54-43C5C5209AE1}"/>
    <cellStyle name="Normal 5 2 2 2 3 2 2 4" xfId="9506" xr:uid="{65E8E1F9-5B62-47C9-8131-412DF42F5268}"/>
    <cellStyle name="Normal 5 2 2 2 3 2 2 5" xfId="10310" xr:uid="{E6658408-7ACE-48C8-B401-A6A6321513D2}"/>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2D727866-AB06-4708-AFCA-86106221BB04}"/>
    <cellStyle name="Normal 5 2 2 2 3 2 3 2 3" xfId="12868" xr:uid="{6C7C7B09-10F9-4F99-80E8-4D62DCFAB9A4}"/>
    <cellStyle name="Normal 5 2 2 2 3 2 3 3" xfId="5614" xr:uid="{00000000-0005-0000-0000-000051170000}"/>
    <cellStyle name="Normal 5 2 2 2 3 2 3 3 2" xfId="14940" xr:uid="{19BE5795-3B68-45E9-A2C6-8C66148C90A1}"/>
    <cellStyle name="Normal 5 2 2 2 3 2 3 4" xfId="10723" xr:uid="{45AB883D-41A2-4F21-8909-B4A72DC4A6F6}"/>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F7D83F7E-CBBA-414E-A993-4F99368E48C9}"/>
    <cellStyle name="Normal 5 2 2 2 3 2 4 2 3" xfId="13281" xr:uid="{63A15461-DAC1-4ECB-A12C-39F4CDEE270C}"/>
    <cellStyle name="Normal 5 2 2 2 3 2 4 3" xfId="6027" xr:uid="{00000000-0005-0000-0000-000055170000}"/>
    <cellStyle name="Normal 5 2 2 2 3 2 4 3 2" xfId="15353" xr:uid="{4AC03942-B9BC-4386-A9D8-328C686B2DE9}"/>
    <cellStyle name="Normal 5 2 2 2 3 2 4 4" xfId="11136" xr:uid="{93C92724-78F3-482B-8434-BF2101512128}"/>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6A3E0B9D-9FF4-4FA0-B3A9-DE5463E04B9B}"/>
    <cellStyle name="Normal 5 2 2 2 3 2 5 2 3" xfId="13694" xr:uid="{F1A9239E-208F-40C2-9B43-E9D41D4D9D67}"/>
    <cellStyle name="Normal 5 2 2 2 3 2 5 3" xfId="6440" xr:uid="{00000000-0005-0000-0000-000059170000}"/>
    <cellStyle name="Normal 5 2 2 2 3 2 5 3 2" xfId="15766" xr:uid="{6BC0CA0D-A93B-4F8C-90C4-F85173EF7F7B}"/>
    <cellStyle name="Normal 5 2 2 2 3 2 5 4" xfId="11549" xr:uid="{EF81CA83-0C95-4989-89B7-3FDF2E1E0356}"/>
    <cellStyle name="Normal 5 2 2 2 3 2 6" xfId="2570" xr:uid="{00000000-0005-0000-0000-00005A170000}"/>
    <cellStyle name="Normal 5 2 2 2 3 2 6 2" xfId="6853" xr:uid="{00000000-0005-0000-0000-00005B170000}"/>
    <cellStyle name="Normal 5 2 2 2 3 2 6 2 2" xfId="16179" xr:uid="{66C69FCE-6753-4EBF-97FA-5D73AFEDC997}"/>
    <cellStyle name="Normal 5 2 2 2 3 2 6 3" xfId="11962" xr:uid="{013F7136-C88F-49A2-8012-4D250A00BB06}"/>
    <cellStyle name="Normal 5 2 2 2 3 2 7" xfId="4788" xr:uid="{00000000-0005-0000-0000-00005C170000}"/>
    <cellStyle name="Normal 5 2 2 2 3 2 7 2" xfId="14114" xr:uid="{A7DB07F5-A67B-4F16-BA29-CD48450E83BB}"/>
    <cellStyle name="Normal 5 2 2 2 3 2 8" xfId="9081" xr:uid="{B0400C6D-4400-4F06-9092-2DCAD3324CF1}"/>
    <cellStyle name="Normal 5 2 2 2 3 2 9" xfId="9897" xr:uid="{581D32D0-A70F-45DB-9458-AEE42EBF4E2D}"/>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86CB793D-23CC-4220-8204-99B62C175F8D}"/>
    <cellStyle name="Normal 5 2 2 2 3 3 2 3" xfId="12454" xr:uid="{AB7C1B5D-6FC5-42B6-8395-D9B4BE2266F1}"/>
    <cellStyle name="Normal 5 2 2 2 3 3 3" xfId="5200" xr:uid="{00000000-0005-0000-0000-000060170000}"/>
    <cellStyle name="Normal 5 2 2 2 3 3 3 2" xfId="14526" xr:uid="{AE5DDC28-6112-4FE1-9616-3503F8342571}"/>
    <cellStyle name="Normal 5 2 2 2 3 3 4" xfId="9299" xr:uid="{85780536-A38F-4D86-8846-D9FA6BB2D61D}"/>
    <cellStyle name="Normal 5 2 2 2 3 3 5" xfId="10309" xr:uid="{B485A6EC-B760-4B0F-BD9A-D63E204EA54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845F0BF4-D9EF-4C21-AB36-AEE9622B60D0}"/>
    <cellStyle name="Normal 5 2 2 2 3 4 2 3" xfId="12867" xr:uid="{AFCB5A4D-56D8-47A1-B17B-144947D45A4E}"/>
    <cellStyle name="Normal 5 2 2 2 3 4 3" xfId="5613" xr:uid="{00000000-0005-0000-0000-000064170000}"/>
    <cellStyle name="Normal 5 2 2 2 3 4 3 2" xfId="14939" xr:uid="{AE4A208D-1818-49A7-AE1B-57EE0AF868B9}"/>
    <cellStyle name="Normal 5 2 2 2 3 4 4" xfId="10722" xr:uid="{DD7C8D18-E5EB-4843-9A2F-3FC1BE4145C3}"/>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5555EFD0-798B-45D7-804B-BE2622349A18}"/>
    <cellStyle name="Normal 5 2 2 2 3 5 2 3" xfId="13280" xr:uid="{9A097E2D-D113-4638-91E1-49E079743CDE}"/>
    <cellStyle name="Normal 5 2 2 2 3 5 3" xfId="6026" xr:uid="{00000000-0005-0000-0000-000068170000}"/>
    <cellStyle name="Normal 5 2 2 2 3 5 3 2" xfId="15352" xr:uid="{AC2EC443-67CB-4763-8D1B-E8B449EB1A0D}"/>
    <cellStyle name="Normal 5 2 2 2 3 5 4" xfId="11135" xr:uid="{65D6C7A7-081F-408D-8286-97E775E41993}"/>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983477F4-94B2-47DD-8436-8CF6806D58DB}"/>
    <cellStyle name="Normal 5 2 2 2 3 6 2 3" xfId="13693" xr:uid="{4E8593A8-384C-4C1B-8026-58B7609307B6}"/>
    <cellStyle name="Normal 5 2 2 2 3 6 3" xfId="6439" xr:uid="{00000000-0005-0000-0000-00006C170000}"/>
    <cellStyle name="Normal 5 2 2 2 3 6 3 2" xfId="15765" xr:uid="{1EB8E2CE-2323-41B2-9897-E3FF9B4B837C}"/>
    <cellStyle name="Normal 5 2 2 2 3 6 4" xfId="11548" xr:uid="{7FE00716-589F-4E5F-A038-C372BB7C3D46}"/>
    <cellStyle name="Normal 5 2 2 2 3 7" xfId="2569" xr:uid="{00000000-0005-0000-0000-00006D170000}"/>
    <cellStyle name="Normal 5 2 2 2 3 7 2" xfId="6852" xr:uid="{00000000-0005-0000-0000-00006E170000}"/>
    <cellStyle name="Normal 5 2 2 2 3 7 2 2" xfId="16178" xr:uid="{FE4EA654-3C66-4EA1-9294-4CE01A4AEA73}"/>
    <cellStyle name="Normal 5 2 2 2 3 7 3" xfId="11961" xr:uid="{1B9DE8E8-FBBA-487E-814C-1953B10F5C0C}"/>
    <cellStyle name="Normal 5 2 2 2 3 8" xfId="4787" xr:uid="{00000000-0005-0000-0000-00006F170000}"/>
    <cellStyle name="Normal 5 2 2 2 3 8 2" xfId="14113" xr:uid="{83373465-B6A5-46C1-8D4E-32E103DCD578}"/>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BA6E269E-6ABB-4065-9087-F56E5A03845F}"/>
    <cellStyle name="Normal 5 2 2 2 4 2 2 3" xfId="12456" xr:uid="{A98F97C3-9ACA-4EC8-8AA2-8099BEAFF0B9}"/>
    <cellStyle name="Normal 5 2 2 2 4 2 3" xfId="5202" xr:uid="{00000000-0005-0000-0000-000074170000}"/>
    <cellStyle name="Normal 5 2 2 2 4 2 3 2" xfId="14528" xr:uid="{40FAB227-B439-4F16-B91F-64FCC94198EE}"/>
    <cellStyle name="Normal 5 2 2 2 4 2 4" xfId="9403" xr:uid="{DDA7C497-662A-4A76-A324-A27E6A0A2B3D}"/>
    <cellStyle name="Normal 5 2 2 2 4 2 5" xfId="10311" xr:uid="{498A79EA-F7D4-4C94-83F8-6B248C11BBF7}"/>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C877CDDE-CD30-4FAD-ABD3-E7C903CC9102}"/>
    <cellStyle name="Normal 5 2 2 2 4 3 2 3" xfId="12869" xr:uid="{2096DCC0-A3BF-459B-B234-CB29CE446A43}"/>
    <cellStyle name="Normal 5 2 2 2 4 3 3" xfId="5615" xr:uid="{00000000-0005-0000-0000-000078170000}"/>
    <cellStyle name="Normal 5 2 2 2 4 3 3 2" xfId="14941" xr:uid="{65DEA9AA-F333-4DE1-8131-6789F49F6209}"/>
    <cellStyle name="Normal 5 2 2 2 4 3 4" xfId="10724" xr:uid="{33CA673B-BBDE-4159-9658-EB0F23E992E4}"/>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1DA33E68-7FE3-418A-B2FA-043EBC8A1815}"/>
    <cellStyle name="Normal 5 2 2 2 4 4 2 3" xfId="13282" xr:uid="{39FFE88D-97A6-4774-B3E7-F223315B8787}"/>
    <cellStyle name="Normal 5 2 2 2 4 4 3" xfId="6028" xr:uid="{00000000-0005-0000-0000-00007C170000}"/>
    <cellStyle name="Normal 5 2 2 2 4 4 3 2" xfId="15354" xr:uid="{E06EFD32-6545-4D96-A53B-A373939D65EB}"/>
    <cellStyle name="Normal 5 2 2 2 4 4 4" xfId="11137" xr:uid="{A1C6F175-FABF-45BD-8F12-1F513F240081}"/>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90E41D6B-DE91-40B1-9084-7EECA38C30E7}"/>
    <cellStyle name="Normal 5 2 2 2 4 5 2 3" xfId="13695" xr:uid="{8DD6299A-0AEE-41DB-B328-02D9632B9811}"/>
    <cellStyle name="Normal 5 2 2 2 4 5 3" xfId="6441" xr:uid="{00000000-0005-0000-0000-000080170000}"/>
    <cellStyle name="Normal 5 2 2 2 4 5 3 2" xfId="15767" xr:uid="{F877D0A4-90D8-4810-9AD6-612F30956F66}"/>
    <cellStyle name="Normal 5 2 2 2 4 5 4" xfId="11550" xr:uid="{4DF58C58-4C3E-44C5-B1DB-868EE5F8D396}"/>
    <cellStyle name="Normal 5 2 2 2 4 6" xfId="2571" xr:uid="{00000000-0005-0000-0000-000081170000}"/>
    <cellStyle name="Normal 5 2 2 2 4 6 2" xfId="6854" xr:uid="{00000000-0005-0000-0000-000082170000}"/>
    <cellStyle name="Normal 5 2 2 2 4 6 2 2" xfId="16180" xr:uid="{4EF4A81E-6E37-4B31-8200-446EEE7103AF}"/>
    <cellStyle name="Normal 5 2 2 2 4 6 3" xfId="11963" xr:uid="{31459935-8CF5-491C-850A-EB940EEFC8A7}"/>
    <cellStyle name="Normal 5 2 2 2 4 7" xfId="4789" xr:uid="{00000000-0005-0000-0000-000083170000}"/>
    <cellStyle name="Normal 5 2 2 2 4 7 2" xfId="14115" xr:uid="{A970EBD4-7EB1-4B62-A6A8-8A91C41D2B3B}"/>
    <cellStyle name="Normal 5 2 2 2 4 8" xfId="8978" xr:uid="{5B5F86B4-BA0F-43A7-920A-E466FD014739}"/>
    <cellStyle name="Normal 5 2 2 2 4 9" xfId="9898" xr:uid="{4EF03DBF-FC48-48D6-A07C-8B37EBF7BDF5}"/>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F7A68585-48CB-4D32-8814-A0B1179D365A}"/>
    <cellStyle name="Normal 5 2 2 2 5 2 3" xfId="12449" xr:uid="{6A8C8064-56BB-4E15-9843-4B898AFC530C}"/>
    <cellStyle name="Normal 5 2 2 2 5 3" xfId="5195" xr:uid="{00000000-0005-0000-0000-000087170000}"/>
    <cellStyle name="Normal 5 2 2 2 5 3 2" xfId="14521" xr:uid="{78A1FD0B-CEA7-4068-9D52-80B590458FDB}"/>
    <cellStyle name="Normal 5 2 2 2 5 4" xfId="9195" xr:uid="{A7E71EA0-2CA4-4918-870E-A32EEF45C61A}"/>
    <cellStyle name="Normal 5 2 2 2 5 5" xfId="10304" xr:uid="{F946BB63-6E9E-4F1F-9CC2-4193D1833E69}"/>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BFB00D9E-6A5D-45D5-84A8-3C8A22ADB364}"/>
    <cellStyle name="Normal 5 2 2 2 6 2 3" xfId="12862" xr:uid="{56F81951-C43D-439D-B89F-42561A3630AD}"/>
    <cellStyle name="Normal 5 2 2 2 6 3" xfId="5608" xr:uid="{00000000-0005-0000-0000-00008B170000}"/>
    <cellStyle name="Normal 5 2 2 2 6 3 2" xfId="14934" xr:uid="{418E6AFB-C210-4923-A304-634D3917D3E2}"/>
    <cellStyle name="Normal 5 2 2 2 6 4" xfId="10717" xr:uid="{F0956677-8C63-4430-9833-70EB161EE02C}"/>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20F82F03-3EFD-4D6A-80F1-141C31A3453F}"/>
    <cellStyle name="Normal 5 2 2 2 7 2 3" xfId="13275" xr:uid="{7391BACE-0F62-459C-9186-9CE01D035A71}"/>
    <cellStyle name="Normal 5 2 2 2 7 3" xfId="6021" xr:uid="{00000000-0005-0000-0000-00008F170000}"/>
    <cellStyle name="Normal 5 2 2 2 7 3 2" xfId="15347" xr:uid="{C2D59497-D12E-481E-A83D-7DA58DA3EB56}"/>
    <cellStyle name="Normal 5 2 2 2 7 4" xfId="11130" xr:uid="{4267966F-012B-49FB-BE16-5D6D0767B305}"/>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311D67E6-AB07-406E-B243-DFBFA4138AE6}"/>
    <cellStyle name="Normal 5 2 2 2 8 2 3" xfId="13688" xr:uid="{4CE2D8E4-BAE1-4324-A3B3-BBFE1F6DA88E}"/>
    <cellStyle name="Normal 5 2 2 2 8 3" xfId="6434" xr:uid="{00000000-0005-0000-0000-000093170000}"/>
    <cellStyle name="Normal 5 2 2 2 8 3 2" xfId="15760" xr:uid="{3C85C8E8-14CB-49B2-8E43-29527592DF77}"/>
    <cellStyle name="Normal 5 2 2 2 8 4" xfId="11543" xr:uid="{45724AC3-0492-4895-B625-B14068F48C5B}"/>
    <cellStyle name="Normal 5 2 2 2 9" xfId="2564" xr:uid="{00000000-0005-0000-0000-000094170000}"/>
    <cellStyle name="Normal 5 2 2 2 9 2" xfId="6847" xr:uid="{00000000-0005-0000-0000-000095170000}"/>
    <cellStyle name="Normal 5 2 2 2 9 2 2" xfId="16173" xr:uid="{B392FB10-C055-46C8-A9E7-C78F7EA5E393}"/>
    <cellStyle name="Normal 5 2 2 2 9 3" xfId="11956" xr:uid="{3DD1613F-B66B-446D-85AE-41071A65B2AB}"/>
    <cellStyle name="Normal 5 2 2 3" xfId="417" xr:uid="{00000000-0005-0000-0000-000096170000}"/>
    <cellStyle name="Normal 5 2 2 3 10" xfId="8828" xr:uid="{5CED8211-F967-469B-812B-9DF6FC250177}"/>
    <cellStyle name="Normal 5 2 2 3 11" xfId="9899" xr:uid="{DE09B45E-A3C1-4A82-90E1-F305E72D9F27}"/>
    <cellStyle name="Normal 5 2 2 3 2" xfId="418" xr:uid="{00000000-0005-0000-0000-000097170000}"/>
    <cellStyle name="Normal 5 2 2 3 2 10" xfId="9900" xr:uid="{C908D079-E039-4208-89B3-7882584C78AC}"/>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E72C1828-3FFC-4443-A66F-0A18BF2602C2}"/>
    <cellStyle name="Normal 5 2 2 3 2 2 2 2 3" xfId="12459" xr:uid="{FB1E8DFA-4E7A-4DF9-A0B8-7546090CB045}"/>
    <cellStyle name="Normal 5 2 2 3 2 2 2 3" xfId="5205" xr:uid="{00000000-0005-0000-0000-00009C170000}"/>
    <cellStyle name="Normal 5 2 2 3 2 2 2 3 2" xfId="14531" xr:uid="{AAE88850-214A-4E24-BEB7-A86D3FDEC158}"/>
    <cellStyle name="Normal 5 2 2 3 2 2 2 4" xfId="9563" xr:uid="{804E641C-B5FA-46A3-B805-C1D4AF390C28}"/>
    <cellStyle name="Normal 5 2 2 3 2 2 2 5" xfId="10314" xr:uid="{771E94C8-CD9B-47F6-AD14-06AE1D0EF756}"/>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6AF359F2-DD08-4D0F-93F8-0B5CE52B594C}"/>
    <cellStyle name="Normal 5 2 2 3 2 2 3 2 3" xfId="12872" xr:uid="{E8DB0A19-7444-491B-983E-AEA5FC2C7E91}"/>
    <cellStyle name="Normal 5 2 2 3 2 2 3 3" xfId="5618" xr:uid="{00000000-0005-0000-0000-0000A0170000}"/>
    <cellStyle name="Normal 5 2 2 3 2 2 3 3 2" xfId="14944" xr:uid="{9BEC1AEE-F03C-4C63-86CB-5D92F948CB25}"/>
    <cellStyle name="Normal 5 2 2 3 2 2 3 4" xfId="10727" xr:uid="{6402E999-CA33-479A-AA97-E10457E51F7E}"/>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1A05E0C3-EE6D-4EB5-BB4A-0D1A07C717CA}"/>
    <cellStyle name="Normal 5 2 2 3 2 2 4 2 3" xfId="13285" xr:uid="{AF708863-2CC0-430E-83D8-D1A9A248DF06}"/>
    <cellStyle name="Normal 5 2 2 3 2 2 4 3" xfId="6031" xr:uid="{00000000-0005-0000-0000-0000A4170000}"/>
    <cellStyle name="Normal 5 2 2 3 2 2 4 3 2" xfId="15357" xr:uid="{E124B664-E622-4E9F-A224-C7AFE3451803}"/>
    <cellStyle name="Normal 5 2 2 3 2 2 4 4" xfId="11140" xr:uid="{258CBBF1-A43A-4C92-B174-496CD9D83F05}"/>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05BD7E59-22C9-4F91-AA45-7A10A87718C2}"/>
    <cellStyle name="Normal 5 2 2 3 2 2 5 2 3" xfId="13698" xr:uid="{56D9A535-C5BB-4017-882D-98C4A2442084}"/>
    <cellStyle name="Normal 5 2 2 3 2 2 5 3" xfId="6444" xr:uid="{00000000-0005-0000-0000-0000A8170000}"/>
    <cellStyle name="Normal 5 2 2 3 2 2 5 3 2" xfId="15770" xr:uid="{02ED3B71-5908-40DA-9E2B-A64A97657DB0}"/>
    <cellStyle name="Normal 5 2 2 3 2 2 5 4" xfId="11553" xr:uid="{11594207-C7E9-499D-9D28-066BD0147E62}"/>
    <cellStyle name="Normal 5 2 2 3 2 2 6" xfId="2574" xr:uid="{00000000-0005-0000-0000-0000A9170000}"/>
    <cellStyle name="Normal 5 2 2 3 2 2 6 2" xfId="6857" xr:uid="{00000000-0005-0000-0000-0000AA170000}"/>
    <cellStyle name="Normal 5 2 2 3 2 2 6 2 2" xfId="16183" xr:uid="{8899A13A-1FA2-4E96-8F41-390818EA944D}"/>
    <cellStyle name="Normal 5 2 2 3 2 2 6 3" xfId="11966" xr:uid="{5691D87E-A698-47B4-8A8D-5F62F4DBCC8E}"/>
    <cellStyle name="Normal 5 2 2 3 2 2 7" xfId="4792" xr:uid="{00000000-0005-0000-0000-0000AB170000}"/>
    <cellStyle name="Normal 5 2 2 3 2 2 7 2" xfId="14118" xr:uid="{B0C468DD-3508-45C0-A6C8-6BC7CC913420}"/>
    <cellStyle name="Normal 5 2 2 3 2 2 8" xfId="9138" xr:uid="{BE73D583-3CAB-48A9-8A6F-E88EE69D1D1D}"/>
    <cellStyle name="Normal 5 2 2 3 2 2 9" xfId="9901" xr:uid="{B4131B82-E892-4676-B9C7-368760F5B273}"/>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CBEC3E71-3E8B-4AD9-A6F6-B56AD28530FA}"/>
    <cellStyle name="Normal 5 2 2 3 2 3 2 3" xfId="12458" xr:uid="{8A636BAB-EA6D-4666-BCAA-763D6ADF47D1}"/>
    <cellStyle name="Normal 5 2 2 3 2 3 3" xfId="5204" xr:uid="{00000000-0005-0000-0000-0000AF170000}"/>
    <cellStyle name="Normal 5 2 2 3 2 3 3 2" xfId="14530" xr:uid="{4546D5CC-8CC6-46C2-B524-36B346087654}"/>
    <cellStyle name="Normal 5 2 2 3 2 3 4" xfId="9356" xr:uid="{58BAA3B3-A7A2-4F6F-9929-D8BE9F0A557D}"/>
    <cellStyle name="Normal 5 2 2 3 2 3 5" xfId="10313" xr:uid="{48E8275C-573A-40B2-AE15-103B7F4AE36F}"/>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E450502B-4E8F-47EB-9384-ED38D77305E6}"/>
    <cellStyle name="Normal 5 2 2 3 2 4 2 3" xfId="12871" xr:uid="{AB0DFC4A-7DC8-45D9-8716-19F9D85DF70F}"/>
    <cellStyle name="Normal 5 2 2 3 2 4 3" xfId="5617" xr:uid="{00000000-0005-0000-0000-0000B3170000}"/>
    <cellStyle name="Normal 5 2 2 3 2 4 3 2" xfId="14943" xr:uid="{A76A2DDB-18DE-49DA-9574-019706CD0A5E}"/>
    <cellStyle name="Normal 5 2 2 3 2 4 4" xfId="10726" xr:uid="{ADB378BE-612E-4860-8B15-096194ACC8CE}"/>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A15B79CF-7415-4877-99CE-8A056C2CEAA1}"/>
    <cellStyle name="Normal 5 2 2 3 2 5 2 3" xfId="13284" xr:uid="{0B36525C-AECD-4FC7-A48C-E400F8149FA9}"/>
    <cellStyle name="Normal 5 2 2 3 2 5 3" xfId="6030" xr:uid="{00000000-0005-0000-0000-0000B7170000}"/>
    <cellStyle name="Normal 5 2 2 3 2 5 3 2" xfId="15356" xr:uid="{41B30065-29C9-45A1-9C26-0E22A8C2A0A4}"/>
    <cellStyle name="Normal 5 2 2 3 2 5 4" xfId="11139" xr:uid="{EE261CAA-ACFD-4B8A-8B00-89513A278525}"/>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595E3DAA-2D1B-4BD1-9A31-BF34A1EA9C8E}"/>
    <cellStyle name="Normal 5 2 2 3 2 6 2 3" xfId="13697" xr:uid="{DF6B9D46-5DFB-494A-828C-5BC22B036CE5}"/>
    <cellStyle name="Normal 5 2 2 3 2 6 3" xfId="6443" xr:uid="{00000000-0005-0000-0000-0000BB170000}"/>
    <cellStyle name="Normal 5 2 2 3 2 6 3 2" xfId="15769" xr:uid="{DF21141E-119C-4738-BE35-053A3E13DA1A}"/>
    <cellStyle name="Normal 5 2 2 3 2 6 4" xfId="11552" xr:uid="{D5AEC4FB-E741-40B4-A1AB-6BCD73256667}"/>
    <cellStyle name="Normal 5 2 2 3 2 7" xfId="2573" xr:uid="{00000000-0005-0000-0000-0000BC170000}"/>
    <cellStyle name="Normal 5 2 2 3 2 7 2" xfId="6856" xr:uid="{00000000-0005-0000-0000-0000BD170000}"/>
    <cellStyle name="Normal 5 2 2 3 2 7 2 2" xfId="16182" xr:uid="{0D61CD92-D3C4-42D5-BF6B-6A647822C0B7}"/>
    <cellStyle name="Normal 5 2 2 3 2 7 3" xfId="11965" xr:uid="{3247FC15-630C-4668-B105-5FB97BBFD272}"/>
    <cellStyle name="Normal 5 2 2 3 2 8" xfId="4791" xr:uid="{00000000-0005-0000-0000-0000BE170000}"/>
    <cellStyle name="Normal 5 2 2 3 2 8 2" xfId="14117" xr:uid="{BAE9B040-75F7-4A2F-A017-C76DDF3795A8}"/>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938FD7D8-4BAD-419F-9964-61742AF9BCF4}"/>
    <cellStyle name="Normal 5 2 2 3 3 2 2 3" xfId="12460" xr:uid="{E28BEF2E-5518-4A06-A5FA-CA96F2487171}"/>
    <cellStyle name="Normal 5 2 2 3 3 2 3" xfId="5206" xr:uid="{00000000-0005-0000-0000-0000C3170000}"/>
    <cellStyle name="Normal 5 2 2 3 3 2 3 2" xfId="14532" xr:uid="{28695059-FE82-4E95-973F-E7CA97678C5E}"/>
    <cellStyle name="Normal 5 2 2 3 3 2 4" xfId="9460" xr:uid="{423E0BE9-24F3-4EF0-8962-2565594BF831}"/>
    <cellStyle name="Normal 5 2 2 3 3 2 5" xfId="10315" xr:uid="{4BCD3123-4F05-4BDD-A068-FD806356C9CA}"/>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6B19328A-A872-486C-94B0-D522B5498CB9}"/>
    <cellStyle name="Normal 5 2 2 3 3 3 2 3" xfId="12873" xr:uid="{D539552B-0EA1-4A31-AAE9-F5BDE738284E}"/>
    <cellStyle name="Normal 5 2 2 3 3 3 3" xfId="5619" xr:uid="{00000000-0005-0000-0000-0000C7170000}"/>
    <cellStyle name="Normal 5 2 2 3 3 3 3 2" xfId="14945" xr:uid="{46D3E448-EF7C-44FA-8058-1E76B960E532}"/>
    <cellStyle name="Normal 5 2 2 3 3 3 4" xfId="10728" xr:uid="{0F55A3AD-4AE4-4582-B3E8-0153182B765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3D6819F7-A4F4-4845-95C7-EB6A49ADEE6C}"/>
    <cellStyle name="Normal 5 2 2 3 3 4 2 3" xfId="13286" xr:uid="{F134039A-A6DA-43C2-9240-56719F611762}"/>
    <cellStyle name="Normal 5 2 2 3 3 4 3" xfId="6032" xr:uid="{00000000-0005-0000-0000-0000CB170000}"/>
    <cellStyle name="Normal 5 2 2 3 3 4 3 2" xfId="15358" xr:uid="{25A316FC-70B8-44CD-AB24-F8CD415077F2}"/>
    <cellStyle name="Normal 5 2 2 3 3 4 4" xfId="11141" xr:uid="{5D2E1B07-856F-436C-9188-D076C9B637AD}"/>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C7A64089-7099-480A-810F-A42CDDD97EB0}"/>
    <cellStyle name="Normal 5 2 2 3 3 5 2 3" xfId="13699" xr:uid="{4B16DBAE-2E08-4CD5-9550-17A91ED7B15B}"/>
    <cellStyle name="Normal 5 2 2 3 3 5 3" xfId="6445" xr:uid="{00000000-0005-0000-0000-0000CF170000}"/>
    <cellStyle name="Normal 5 2 2 3 3 5 3 2" xfId="15771" xr:uid="{F46AFA88-3F84-4201-A159-91F9F26D5657}"/>
    <cellStyle name="Normal 5 2 2 3 3 5 4" xfId="11554" xr:uid="{D0990653-3B7A-43A3-861E-CDDEDBDBF4E8}"/>
    <cellStyle name="Normal 5 2 2 3 3 6" xfId="2575" xr:uid="{00000000-0005-0000-0000-0000D0170000}"/>
    <cellStyle name="Normal 5 2 2 3 3 6 2" xfId="6858" xr:uid="{00000000-0005-0000-0000-0000D1170000}"/>
    <cellStyle name="Normal 5 2 2 3 3 6 2 2" xfId="16184" xr:uid="{AE574CEF-411F-44D2-BD04-654620696FAB}"/>
    <cellStyle name="Normal 5 2 2 3 3 6 3" xfId="11967" xr:uid="{F755F350-1CF9-4CDF-80DB-8B796FC6FEBD}"/>
    <cellStyle name="Normal 5 2 2 3 3 7" xfId="4793" xr:uid="{00000000-0005-0000-0000-0000D2170000}"/>
    <cellStyle name="Normal 5 2 2 3 3 7 2" xfId="14119" xr:uid="{E4F43106-6B38-41D6-9426-F984CEA02CB9}"/>
    <cellStyle name="Normal 5 2 2 3 3 8" xfId="9035" xr:uid="{6AC57173-16AF-4847-A277-E4254AACDA36}"/>
    <cellStyle name="Normal 5 2 2 3 3 9" xfId="9902" xr:uid="{F2CC7CE9-3341-4CBD-8C3F-3DB9F73FEAE8}"/>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90F27875-1B48-4C60-941F-C9828E5D1346}"/>
    <cellStyle name="Normal 5 2 2 3 4 2 3" xfId="12457" xr:uid="{547D4167-6B48-4B9A-BC20-B4C638D0FE1B}"/>
    <cellStyle name="Normal 5 2 2 3 4 3" xfId="5203" xr:uid="{00000000-0005-0000-0000-0000D6170000}"/>
    <cellStyle name="Normal 5 2 2 3 4 3 2" xfId="14529" xr:uid="{618C42E2-5956-464B-9B12-E4E5300E1BC4}"/>
    <cellStyle name="Normal 5 2 2 3 4 4" xfId="9253" xr:uid="{A5C3AAF9-67DD-41B1-A0BF-05B69F588F71}"/>
    <cellStyle name="Normal 5 2 2 3 4 5" xfId="10312" xr:uid="{5273E110-FECB-4884-9314-7C669DC1458C}"/>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7E946514-A82D-4182-9882-947E8232FBD6}"/>
    <cellStyle name="Normal 5 2 2 3 5 2 3" xfId="12870" xr:uid="{3DB43299-6FFA-4E4F-9AFD-5A9F4F94A6AD}"/>
    <cellStyle name="Normal 5 2 2 3 5 3" xfId="5616" xr:uid="{00000000-0005-0000-0000-0000DA170000}"/>
    <cellStyle name="Normal 5 2 2 3 5 3 2" xfId="14942" xr:uid="{5BE9EE65-4382-4465-93FE-889D241A56A1}"/>
    <cellStyle name="Normal 5 2 2 3 5 4" xfId="10725" xr:uid="{7DE27547-C87C-43D8-B987-4E85DB382ECA}"/>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EED37437-1C74-427D-8A78-E973E83AAC38}"/>
    <cellStyle name="Normal 5 2 2 3 6 2 3" xfId="13283" xr:uid="{C77AB2D1-98FB-4F57-9291-3E6497160466}"/>
    <cellStyle name="Normal 5 2 2 3 6 3" xfId="6029" xr:uid="{00000000-0005-0000-0000-0000DE170000}"/>
    <cellStyle name="Normal 5 2 2 3 6 3 2" xfId="15355" xr:uid="{4CD9FE1D-871D-407F-8A37-42B875BA0C1B}"/>
    <cellStyle name="Normal 5 2 2 3 6 4" xfId="11138" xr:uid="{5053CAEB-ACF8-4ED6-B2B6-DF8ACE02D25E}"/>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70B988AA-2380-44CC-B379-CF87E497D110}"/>
    <cellStyle name="Normal 5 2 2 3 7 2 3" xfId="13696" xr:uid="{6F4EF232-0E78-4B9A-8A3A-9F451C69A089}"/>
    <cellStyle name="Normal 5 2 2 3 7 3" xfId="6442" xr:uid="{00000000-0005-0000-0000-0000E2170000}"/>
    <cellStyle name="Normal 5 2 2 3 7 3 2" xfId="15768" xr:uid="{C6016D21-0100-4330-93BB-17C9303B8092}"/>
    <cellStyle name="Normal 5 2 2 3 7 4" xfId="11551" xr:uid="{31BE31C7-B707-4540-9B40-8E428C4A133C}"/>
    <cellStyle name="Normal 5 2 2 3 8" xfId="2572" xr:uid="{00000000-0005-0000-0000-0000E3170000}"/>
    <cellStyle name="Normal 5 2 2 3 8 2" xfId="6855" xr:uid="{00000000-0005-0000-0000-0000E4170000}"/>
    <cellStyle name="Normal 5 2 2 3 8 2 2" xfId="16181" xr:uid="{4E383166-FC5E-40DF-8C18-BF0CD2D5AA60}"/>
    <cellStyle name="Normal 5 2 2 3 8 3" xfId="11964" xr:uid="{81230370-9353-4248-AEA1-9C1FC3D900DF}"/>
    <cellStyle name="Normal 5 2 2 3 9" xfId="4790" xr:uid="{00000000-0005-0000-0000-0000E5170000}"/>
    <cellStyle name="Normal 5 2 2 3 9 2" xfId="14116" xr:uid="{58B89540-62F7-439C-B9F1-E16F363BCCD7}"/>
    <cellStyle name="Normal 5 2 2 4" xfId="421" xr:uid="{00000000-0005-0000-0000-0000E6170000}"/>
    <cellStyle name="Normal 5 2 2 4 10" xfId="9903" xr:uid="{A9D8DFE7-97F2-4EA1-9D22-09DD7B5D3839}"/>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00B1966D-663A-46F9-B487-E1AB857C19F7}"/>
    <cellStyle name="Normal 5 2 2 4 2 2 2 3" xfId="12462" xr:uid="{A6C12083-7CC9-4537-A116-BED111C4C319}"/>
    <cellStyle name="Normal 5 2 2 4 2 2 3" xfId="5208" xr:uid="{00000000-0005-0000-0000-0000EB170000}"/>
    <cellStyle name="Normal 5 2 2 4 2 2 3 2" xfId="14534" xr:uid="{8FEC979A-03DE-4457-B10E-0880B3721351}"/>
    <cellStyle name="Normal 5 2 2 4 2 2 4" xfId="9488" xr:uid="{2997B11D-E810-48A4-BD3C-4498479B295E}"/>
    <cellStyle name="Normal 5 2 2 4 2 2 5" xfId="10317" xr:uid="{5F580D82-28C9-4AA2-848B-E11DF7817BBC}"/>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C798DA76-77F8-43E0-A43B-1086DBDAD4FD}"/>
    <cellStyle name="Normal 5 2 2 4 2 3 2 3" xfId="12875" xr:uid="{BCBA91E4-55F9-4BB4-8777-65EEEB2DDEE5}"/>
    <cellStyle name="Normal 5 2 2 4 2 3 3" xfId="5621" xr:uid="{00000000-0005-0000-0000-0000EF170000}"/>
    <cellStyle name="Normal 5 2 2 4 2 3 3 2" xfId="14947" xr:uid="{530E30A4-B9F3-47F4-9696-2953E149FB8E}"/>
    <cellStyle name="Normal 5 2 2 4 2 3 4" xfId="10730" xr:uid="{5C2D5D9D-6DBF-4506-84CC-275520E7880A}"/>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9C5190DD-3954-4B2F-8685-0C1721403C6B}"/>
    <cellStyle name="Normal 5 2 2 4 2 4 2 3" xfId="13288" xr:uid="{776CE125-36FE-44CF-9744-382213C77F86}"/>
    <cellStyle name="Normal 5 2 2 4 2 4 3" xfId="6034" xr:uid="{00000000-0005-0000-0000-0000F3170000}"/>
    <cellStyle name="Normal 5 2 2 4 2 4 3 2" xfId="15360" xr:uid="{6A37CF97-2599-41D9-8C95-B0033D48B009}"/>
    <cellStyle name="Normal 5 2 2 4 2 4 4" xfId="11143" xr:uid="{26CF0E97-EEAF-400E-8834-9136ECA62208}"/>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7A19AFE8-0856-463F-82E8-4B721A2821B9}"/>
    <cellStyle name="Normal 5 2 2 4 2 5 2 3" xfId="13701" xr:uid="{8C896FD1-7B8D-43EB-9F6E-6A002C394E03}"/>
    <cellStyle name="Normal 5 2 2 4 2 5 3" xfId="6447" xr:uid="{00000000-0005-0000-0000-0000F7170000}"/>
    <cellStyle name="Normal 5 2 2 4 2 5 3 2" xfId="15773" xr:uid="{C16D20ED-41A8-46E7-B706-D034BA8B9866}"/>
    <cellStyle name="Normal 5 2 2 4 2 5 4" xfId="11556" xr:uid="{31BF1504-F664-43C8-A2A0-CA4B9E0AE244}"/>
    <cellStyle name="Normal 5 2 2 4 2 6" xfId="2577" xr:uid="{00000000-0005-0000-0000-0000F8170000}"/>
    <cellStyle name="Normal 5 2 2 4 2 6 2" xfId="6860" xr:uid="{00000000-0005-0000-0000-0000F9170000}"/>
    <cellStyle name="Normal 5 2 2 4 2 6 2 2" xfId="16186" xr:uid="{CD7E91AA-A8B9-43BF-84DF-627D06E7DBAA}"/>
    <cellStyle name="Normal 5 2 2 4 2 6 3" xfId="11969" xr:uid="{87D00B41-3927-44E1-A72E-92DC7DAEC00F}"/>
    <cellStyle name="Normal 5 2 2 4 2 7" xfId="4795" xr:uid="{00000000-0005-0000-0000-0000FA170000}"/>
    <cellStyle name="Normal 5 2 2 4 2 7 2" xfId="14121" xr:uid="{96A5AA73-FAE0-45D7-8EFC-C57CD35542BB}"/>
    <cellStyle name="Normal 5 2 2 4 2 8" xfId="9063" xr:uid="{3B1AA107-8D7F-4938-A60C-EED41E9B9A2A}"/>
    <cellStyle name="Normal 5 2 2 4 2 9" xfId="9904" xr:uid="{E7B601E8-E762-4B6C-BEB4-A0E76DFD088F}"/>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763D3D91-E43B-4CF1-A0DA-10221D710E27}"/>
    <cellStyle name="Normal 5 2 2 4 3 2 3" xfId="12461" xr:uid="{4228DF24-5E0D-4DCA-BA04-6CC977584F97}"/>
    <cellStyle name="Normal 5 2 2 4 3 3" xfId="5207" xr:uid="{00000000-0005-0000-0000-0000FE170000}"/>
    <cellStyle name="Normal 5 2 2 4 3 3 2" xfId="14533" xr:uid="{236F7306-0F6F-48D4-B5CF-FD0F7894634C}"/>
    <cellStyle name="Normal 5 2 2 4 3 4" xfId="9281" xr:uid="{9304050F-95A7-4BE3-AD21-FEBB7D0875B2}"/>
    <cellStyle name="Normal 5 2 2 4 3 5" xfId="10316" xr:uid="{3419A63B-CF8D-47D5-A991-FE94116D4523}"/>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F48D0B29-D29E-4511-AAC7-7CDE2D562A0C}"/>
    <cellStyle name="Normal 5 2 2 4 4 2 3" xfId="12874" xr:uid="{9EC723F1-7DAB-4079-A551-D7106AA7F436}"/>
    <cellStyle name="Normal 5 2 2 4 4 3" xfId="5620" xr:uid="{00000000-0005-0000-0000-000002180000}"/>
    <cellStyle name="Normal 5 2 2 4 4 3 2" xfId="14946" xr:uid="{9C6FEE88-A741-49E4-A6E4-7F37A5621D4B}"/>
    <cellStyle name="Normal 5 2 2 4 4 4" xfId="10729" xr:uid="{54AED5DC-DDDA-4BEC-ADD7-4471EA956CDA}"/>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F092C0C3-2665-4E98-8A32-33243EBA1B72}"/>
    <cellStyle name="Normal 5 2 2 4 5 2 3" xfId="13287" xr:uid="{772D8C18-79B2-40A7-8634-743CBBD27919}"/>
    <cellStyle name="Normal 5 2 2 4 5 3" xfId="6033" xr:uid="{00000000-0005-0000-0000-000006180000}"/>
    <cellStyle name="Normal 5 2 2 4 5 3 2" xfId="15359" xr:uid="{D33A4F07-C22A-40B9-802F-07CA325D0A49}"/>
    <cellStyle name="Normal 5 2 2 4 5 4" xfId="11142" xr:uid="{783D5C6B-C3E3-4037-ADF4-3B19DD31A88B}"/>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8D0E6074-5C15-4950-956B-A6C07C3BE270}"/>
    <cellStyle name="Normal 5 2 2 4 6 2 3" xfId="13700" xr:uid="{E08EE4B9-68B5-4094-9E86-B709E7D3E079}"/>
    <cellStyle name="Normal 5 2 2 4 6 3" xfId="6446" xr:uid="{00000000-0005-0000-0000-00000A180000}"/>
    <cellStyle name="Normal 5 2 2 4 6 3 2" xfId="15772" xr:uid="{5C082EF4-64AB-4F5C-9B70-07CC14116602}"/>
    <cellStyle name="Normal 5 2 2 4 6 4" xfId="11555" xr:uid="{9B5670EA-4387-4B0D-A85C-6D335176B623}"/>
    <cellStyle name="Normal 5 2 2 4 7" xfId="2576" xr:uid="{00000000-0005-0000-0000-00000B180000}"/>
    <cellStyle name="Normal 5 2 2 4 7 2" xfId="6859" xr:uid="{00000000-0005-0000-0000-00000C180000}"/>
    <cellStyle name="Normal 5 2 2 4 7 2 2" xfId="16185" xr:uid="{8E6C08E4-34C5-4341-9842-6ECAB10878D7}"/>
    <cellStyle name="Normal 5 2 2 4 7 3" xfId="11968" xr:uid="{F15B40BC-E426-46AD-8C96-AD53DD798FE8}"/>
    <cellStyle name="Normal 5 2 2 4 8" xfId="4794" xr:uid="{00000000-0005-0000-0000-00000D180000}"/>
    <cellStyle name="Normal 5 2 2 4 8 2" xfId="14120" xr:uid="{583A736B-2FEC-40FD-8B81-0CA15E87C2C6}"/>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9F32A4CD-8FC7-4C69-A559-87223899A133}"/>
    <cellStyle name="Normal 5 2 2 5 2 2 3" xfId="12463" xr:uid="{F9948C85-CC7B-4AC2-B58A-7887B64F1B5A}"/>
    <cellStyle name="Normal 5 2 2 5 2 3" xfId="5209" xr:uid="{00000000-0005-0000-0000-000012180000}"/>
    <cellStyle name="Normal 5 2 2 5 2 3 2" xfId="14535" xr:uid="{529A9962-D879-4A1A-9633-0AC8F2FED727}"/>
    <cellStyle name="Normal 5 2 2 5 2 4" xfId="9397" xr:uid="{3CB0B9A4-F907-4F52-ACFC-7970F7AF9B13}"/>
    <cellStyle name="Normal 5 2 2 5 2 5" xfId="10318" xr:uid="{F41EDF05-AD64-440F-BBE2-DEFB38AA14F4}"/>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4153F264-19ED-47C6-A05F-458F13F44E6B}"/>
    <cellStyle name="Normal 5 2 2 5 3 2 3" xfId="12876" xr:uid="{B90D26A4-2633-4CC3-B43E-2AFA52B42556}"/>
    <cellStyle name="Normal 5 2 2 5 3 3" xfId="5622" xr:uid="{00000000-0005-0000-0000-000016180000}"/>
    <cellStyle name="Normal 5 2 2 5 3 3 2" xfId="14948" xr:uid="{E492A514-6A4F-4046-895F-42FC014B56AD}"/>
    <cellStyle name="Normal 5 2 2 5 3 4" xfId="10731" xr:uid="{441A29D1-1AA6-48E9-8A2D-F8CB0157DB24}"/>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1612B508-460C-45F6-816D-F72EB20FCB67}"/>
    <cellStyle name="Normal 5 2 2 5 4 2 3" xfId="13289" xr:uid="{CC782534-A418-46D9-B11D-450FC8E16C2A}"/>
    <cellStyle name="Normal 5 2 2 5 4 3" xfId="6035" xr:uid="{00000000-0005-0000-0000-00001A180000}"/>
    <cellStyle name="Normal 5 2 2 5 4 3 2" xfId="15361" xr:uid="{0C84C38A-1C71-44BF-AA9A-209E7C2B4FC1}"/>
    <cellStyle name="Normal 5 2 2 5 4 4" xfId="11144" xr:uid="{1AAA8DBF-9518-4C4C-A8DE-AB7DAFC64B10}"/>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90ACF8DA-0D17-4467-BDD2-8BB22D72354B}"/>
    <cellStyle name="Normal 5 2 2 5 5 2 3" xfId="13702" xr:uid="{BED4493C-1A74-4DC9-85FD-521C76D6490A}"/>
    <cellStyle name="Normal 5 2 2 5 5 3" xfId="6448" xr:uid="{00000000-0005-0000-0000-00001E180000}"/>
    <cellStyle name="Normal 5 2 2 5 5 3 2" xfId="15774" xr:uid="{9B774146-6B9D-4062-BFC3-9EDA8AA2F56B}"/>
    <cellStyle name="Normal 5 2 2 5 5 4" xfId="11557" xr:uid="{EDB24AAD-29B3-42C2-BF16-91EBD5BCBCDE}"/>
    <cellStyle name="Normal 5 2 2 5 6" xfId="2578" xr:uid="{00000000-0005-0000-0000-00001F180000}"/>
    <cellStyle name="Normal 5 2 2 5 6 2" xfId="6861" xr:uid="{00000000-0005-0000-0000-000020180000}"/>
    <cellStyle name="Normal 5 2 2 5 6 2 2" xfId="16187" xr:uid="{CE4E4899-1526-452F-9033-74BB6D716248}"/>
    <cellStyle name="Normal 5 2 2 5 6 3" xfId="11970" xr:uid="{B45F9CC7-8C96-4E8C-89E3-7278D8C7F004}"/>
    <cellStyle name="Normal 5 2 2 5 7" xfId="4796" xr:uid="{00000000-0005-0000-0000-000021180000}"/>
    <cellStyle name="Normal 5 2 2 5 7 2" xfId="14122" xr:uid="{246D03A6-6755-4F72-A3EF-5EF93F094494}"/>
    <cellStyle name="Normal 5 2 2 5 8" xfId="8972" xr:uid="{3CCC8856-6464-4309-A4F9-43F74A48C503}"/>
    <cellStyle name="Normal 5 2 2 5 9" xfId="9905" xr:uid="{DB89A0A5-3FEC-44AD-A15E-C359EB8596A4}"/>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EAAAB470-48E1-449A-B50C-3DA9B0E421EE}"/>
    <cellStyle name="Normal 5 2 2 6 2 3" xfId="12448" xr:uid="{DB3282D9-D427-4178-AEEE-EA89B57C93B3}"/>
    <cellStyle name="Normal 5 2 2 6 3" xfId="5194" xr:uid="{00000000-0005-0000-0000-000025180000}"/>
    <cellStyle name="Normal 5 2 2 6 3 2" xfId="14520" xr:uid="{63CEEA77-4E26-4EDF-AA17-BB0F30B95901}"/>
    <cellStyle name="Normal 5 2 2 6 4" xfId="9175" xr:uid="{A0BC076A-DB75-4963-A17E-57836FA6391D}"/>
    <cellStyle name="Normal 5 2 2 6 5" xfId="10303" xr:uid="{85CE2E01-8AF7-4DE1-8DEE-DE74758BFD9B}"/>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B046B3CC-7EA4-4929-939C-067741435B2A}"/>
    <cellStyle name="Normal 5 2 2 7 2 3" xfId="12861" xr:uid="{83ED33F0-93A0-4065-83BD-AC72C7412264}"/>
    <cellStyle name="Normal 5 2 2 7 3" xfId="5607" xr:uid="{00000000-0005-0000-0000-000029180000}"/>
    <cellStyle name="Normal 5 2 2 7 3 2" xfId="14933" xr:uid="{4222B5F2-24F6-46F8-B057-445E48430D6D}"/>
    <cellStyle name="Normal 5 2 2 7 4" xfId="10716" xr:uid="{A6D4404C-2FFE-47E4-93FC-39F16A6C7A6A}"/>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A3271CC9-164E-417E-9C88-B71CD8A59961}"/>
    <cellStyle name="Normal 5 2 2 8 2 3" xfId="13274" xr:uid="{E64CA51C-B9C4-470C-9B67-0190FBC55C55}"/>
    <cellStyle name="Normal 5 2 2 8 3" xfId="6020" xr:uid="{00000000-0005-0000-0000-00002D180000}"/>
    <cellStyle name="Normal 5 2 2 8 3 2" xfId="15346" xr:uid="{3CDB7DD9-B0FE-44F6-A31B-14D0203EDD97}"/>
    <cellStyle name="Normal 5 2 2 8 4" xfId="11129" xr:uid="{E6994EE7-D204-4D4F-B449-438F3F7AA6A4}"/>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99A6A64E-16DB-4E3B-AF86-88E4724F3F4F}"/>
    <cellStyle name="Normal 5 2 2 9 2 3" xfId="13687" xr:uid="{89FEA9CA-60A4-447D-967C-B8C44A730B6E}"/>
    <cellStyle name="Normal 5 2 2 9 3" xfId="6433" xr:uid="{00000000-0005-0000-0000-000031180000}"/>
    <cellStyle name="Normal 5 2 2 9 3 2" xfId="15759" xr:uid="{D01A8C17-0C31-4377-A88E-5B3D5557F7A4}"/>
    <cellStyle name="Normal 5 2 2 9 4" xfId="11542" xr:uid="{7859305A-411F-46EB-96B8-4A7BA6A713EA}"/>
    <cellStyle name="Normal 5 2 3" xfId="424" xr:uid="{00000000-0005-0000-0000-000032180000}"/>
    <cellStyle name="Normal 5 2 3 10" xfId="4797" xr:uid="{00000000-0005-0000-0000-000033180000}"/>
    <cellStyle name="Normal 5 2 3 10 2" xfId="14123" xr:uid="{51FC8B2D-40DC-4255-AC74-76CE1DDFA502}"/>
    <cellStyle name="Normal 5 2 3 11" xfId="8776" xr:uid="{883173D2-CE3E-48F3-8E13-32EAEF7B08C3}"/>
    <cellStyle name="Normal 5 2 3 12" xfId="9906" xr:uid="{C0886094-C594-4896-B7D0-324A63039748}"/>
    <cellStyle name="Normal 5 2 3 2" xfId="425" xr:uid="{00000000-0005-0000-0000-000034180000}"/>
    <cellStyle name="Normal 5 2 3 2 10" xfId="8830" xr:uid="{287E15F2-6F23-4B3E-B8AA-9DE92D950FBA}"/>
    <cellStyle name="Normal 5 2 3 2 11" xfId="9907" xr:uid="{5A989100-6D27-497C-A416-0CD863AA660F}"/>
    <cellStyle name="Normal 5 2 3 2 2" xfId="426" xr:uid="{00000000-0005-0000-0000-000035180000}"/>
    <cellStyle name="Normal 5 2 3 2 2 10" xfId="9908" xr:uid="{6731E011-0EF7-4FEA-A721-B3EE8CAF98C5}"/>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0AE5F3A7-DD91-433D-934F-F9CD0CF3CE4D}"/>
    <cellStyle name="Normal 5 2 3 2 2 2 2 2 3" xfId="12467" xr:uid="{6DCE68E2-125A-4325-BF49-DEA78981C127}"/>
    <cellStyle name="Normal 5 2 3 2 2 2 2 3" xfId="5213" xr:uid="{00000000-0005-0000-0000-00003A180000}"/>
    <cellStyle name="Normal 5 2 3 2 2 2 2 3 2" xfId="14539" xr:uid="{1B549675-C1EE-4EA8-9A44-9F98F8200F5A}"/>
    <cellStyle name="Normal 5 2 3 2 2 2 2 4" xfId="9565" xr:uid="{B33C5ECB-02D9-4BAF-B467-F38E8EEB7F6E}"/>
    <cellStyle name="Normal 5 2 3 2 2 2 2 5" xfId="10322" xr:uid="{5832ED46-338E-4FE6-9943-B754992DC3F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8680B021-B80D-4518-B611-7DA98F8B9CA0}"/>
    <cellStyle name="Normal 5 2 3 2 2 2 3 2 3" xfId="12880" xr:uid="{EFF972D5-337F-49EC-9034-680523A38C72}"/>
    <cellStyle name="Normal 5 2 3 2 2 2 3 3" xfId="5626" xr:uid="{00000000-0005-0000-0000-00003E180000}"/>
    <cellStyle name="Normal 5 2 3 2 2 2 3 3 2" xfId="14952" xr:uid="{59C57657-A9D9-47C3-93BD-8373A83066D1}"/>
    <cellStyle name="Normal 5 2 3 2 2 2 3 4" xfId="10735" xr:uid="{90DBBE43-4DE1-4440-8447-55BFAD196C08}"/>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155EBA91-E2AB-4DEF-9DF3-405EE8F86BB4}"/>
    <cellStyle name="Normal 5 2 3 2 2 2 4 2 3" xfId="13293" xr:uid="{E0886616-8D86-4A06-B630-89047731F294}"/>
    <cellStyle name="Normal 5 2 3 2 2 2 4 3" xfId="6039" xr:uid="{00000000-0005-0000-0000-000042180000}"/>
    <cellStyle name="Normal 5 2 3 2 2 2 4 3 2" xfId="15365" xr:uid="{A1C4DB28-DEB6-4526-9583-B1DCE9819A9B}"/>
    <cellStyle name="Normal 5 2 3 2 2 2 4 4" xfId="11148" xr:uid="{5D3F6A19-2D92-42D1-98B3-0255CE0C3B44}"/>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F69D15B1-A035-463D-A1CC-28FA118947DC}"/>
    <cellStyle name="Normal 5 2 3 2 2 2 5 2 3" xfId="13706" xr:uid="{58EAE071-92C0-4E4F-84BC-C52D4EEE3FDF}"/>
    <cellStyle name="Normal 5 2 3 2 2 2 5 3" xfId="6452" xr:uid="{00000000-0005-0000-0000-000046180000}"/>
    <cellStyle name="Normal 5 2 3 2 2 2 5 3 2" xfId="15778" xr:uid="{18E87F29-E7E0-4AC6-953B-FCC56172715E}"/>
    <cellStyle name="Normal 5 2 3 2 2 2 5 4" xfId="11561" xr:uid="{2587C5E3-8968-4C17-B2F3-977E8A57E71D}"/>
    <cellStyle name="Normal 5 2 3 2 2 2 6" xfId="2582" xr:uid="{00000000-0005-0000-0000-000047180000}"/>
    <cellStyle name="Normal 5 2 3 2 2 2 6 2" xfId="6865" xr:uid="{00000000-0005-0000-0000-000048180000}"/>
    <cellStyle name="Normal 5 2 3 2 2 2 6 2 2" xfId="16191" xr:uid="{80743EFE-AB8C-473B-AFBF-3D8301C356DE}"/>
    <cellStyle name="Normal 5 2 3 2 2 2 6 3" xfId="11974" xr:uid="{D2512264-A9C4-46CE-AFD5-E14629BA9573}"/>
    <cellStyle name="Normal 5 2 3 2 2 2 7" xfId="4800" xr:uid="{00000000-0005-0000-0000-000049180000}"/>
    <cellStyle name="Normal 5 2 3 2 2 2 7 2" xfId="14126" xr:uid="{198BD0DB-CE4A-4422-AE3F-CF5FA18C1F73}"/>
    <cellStyle name="Normal 5 2 3 2 2 2 8" xfId="9140" xr:uid="{175A16DB-BA54-4083-AB68-1FA46DB27A86}"/>
    <cellStyle name="Normal 5 2 3 2 2 2 9" xfId="9909" xr:uid="{83D859FC-1ACA-478D-9F75-A845DEAD16D8}"/>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2D2D2D33-7D58-467A-9A1E-8D2C5C8F635D}"/>
    <cellStyle name="Normal 5 2 3 2 2 3 2 3" xfId="12466" xr:uid="{1DD501DC-1B8B-4871-AC91-01DA3B3DE9D6}"/>
    <cellStyle name="Normal 5 2 3 2 2 3 3" xfId="5212" xr:uid="{00000000-0005-0000-0000-00004D180000}"/>
    <cellStyle name="Normal 5 2 3 2 2 3 3 2" xfId="14538" xr:uid="{EDACD1D7-7461-4336-A6A1-1FC09681A4F0}"/>
    <cellStyle name="Normal 5 2 3 2 2 3 4" xfId="9358" xr:uid="{5B196E7D-8DD9-4C59-A83C-7626B0E60040}"/>
    <cellStyle name="Normal 5 2 3 2 2 3 5" xfId="10321" xr:uid="{82B37341-6CA7-4299-BA63-8C824B5F40F6}"/>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6B4C13D2-F8FA-4E8C-A342-DD60AB9040CB}"/>
    <cellStyle name="Normal 5 2 3 2 2 4 2 3" xfId="12879" xr:uid="{888A49B1-79F6-4B6B-936D-A99DB85737FF}"/>
    <cellStyle name="Normal 5 2 3 2 2 4 3" xfId="5625" xr:uid="{00000000-0005-0000-0000-000051180000}"/>
    <cellStyle name="Normal 5 2 3 2 2 4 3 2" xfId="14951" xr:uid="{DA6259D1-D0BB-4B3D-A86F-2B6CC0CD5693}"/>
    <cellStyle name="Normal 5 2 3 2 2 4 4" xfId="10734" xr:uid="{C47BE0A9-B97A-4CE6-90A5-503C764BEA9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6D8B9E20-9178-4B2F-AE5E-A659F8C10E29}"/>
    <cellStyle name="Normal 5 2 3 2 2 5 2 3" xfId="13292" xr:uid="{82980A15-1C75-4B4A-A2EC-904A179ECF76}"/>
    <cellStyle name="Normal 5 2 3 2 2 5 3" xfId="6038" xr:uid="{00000000-0005-0000-0000-000055180000}"/>
    <cellStyle name="Normal 5 2 3 2 2 5 3 2" xfId="15364" xr:uid="{B51043A5-6B65-4B68-8487-CC9F65EAF5BC}"/>
    <cellStyle name="Normal 5 2 3 2 2 5 4" xfId="11147" xr:uid="{396258C4-DE2A-4BF6-AE03-907D0198442C}"/>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C1423772-5E65-483C-BC5E-F745898693C0}"/>
    <cellStyle name="Normal 5 2 3 2 2 6 2 3" xfId="13705" xr:uid="{671353CE-AF7E-4B86-970D-AD8C971265DD}"/>
    <cellStyle name="Normal 5 2 3 2 2 6 3" xfId="6451" xr:uid="{00000000-0005-0000-0000-000059180000}"/>
    <cellStyle name="Normal 5 2 3 2 2 6 3 2" xfId="15777" xr:uid="{7C6721BE-0A1D-472A-90ED-D09F02D873F2}"/>
    <cellStyle name="Normal 5 2 3 2 2 6 4" xfId="11560" xr:uid="{6D8B48D7-DD74-48AD-B3E8-CABE7E8C2219}"/>
    <cellStyle name="Normal 5 2 3 2 2 7" xfId="2581" xr:uid="{00000000-0005-0000-0000-00005A180000}"/>
    <cellStyle name="Normal 5 2 3 2 2 7 2" xfId="6864" xr:uid="{00000000-0005-0000-0000-00005B180000}"/>
    <cellStyle name="Normal 5 2 3 2 2 7 2 2" xfId="16190" xr:uid="{A4FF2F7F-3CD5-4D5C-9EEC-4D0E3E11DCF8}"/>
    <cellStyle name="Normal 5 2 3 2 2 7 3" xfId="11973" xr:uid="{DF97881F-4A4D-417F-AA76-52AD68FC6D7D}"/>
    <cellStyle name="Normal 5 2 3 2 2 8" xfId="4799" xr:uid="{00000000-0005-0000-0000-00005C180000}"/>
    <cellStyle name="Normal 5 2 3 2 2 8 2" xfId="14125" xr:uid="{17B7595B-2420-4BF6-8BD1-B11A88C88015}"/>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580C20EF-19D0-47C1-B48E-BA3CC7FF1256}"/>
    <cellStyle name="Normal 5 2 3 2 3 2 2 3" xfId="12468" xr:uid="{5D57AB7A-A54A-48E8-8B51-64659F5DCA15}"/>
    <cellStyle name="Normal 5 2 3 2 3 2 3" xfId="5214" xr:uid="{00000000-0005-0000-0000-000061180000}"/>
    <cellStyle name="Normal 5 2 3 2 3 2 3 2" xfId="14540" xr:uid="{B9D96CFE-AA0F-4448-84FF-6EC86FFC43F8}"/>
    <cellStyle name="Normal 5 2 3 2 3 2 4" xfId="9462" xr:uid="{B4C14F1A-A88A-428F-A7F8-BAFD7E5CD045}"/>
    <cellStyle name="Normal 5 2 3 2 3 2 5" xfId="10323" xr:uid="{EE11CC83-5097-4045-96BA-6D5802599068}"/>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402D86C6-690A-44DF-A127-9BCDC008F26E}"/>
    <cellStyle name="Normal 5 2 3 2 3 3 2 3" xfId="12881" xr:uid="{A991A625-B27E-49CC-B9AE-87757BF16A1D}"/>
    <cellStyle name="Normal 5 2 3 2 3 3 3" xfId="5627" xr:uid="{00000000-0005-0000-0000-000065180000}"/>
    <cellStyle name="Normal 5 2 3 2 3 3 3 2" xfId="14953" xr:uid="{EA5E6D88-D1A6-4206-8C7B-F8AB213766D2}"/>
    <cellStyle name="Normal 5 2 3 2 3 3 4" xfId="10736" xr:uid="{96B017C6-6374-406E-82B9-88B13CA3AD11}"/>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138978F6-F04A-42B3-A19D-9D7D28B4E412}"/>
    <cellStyle name="Normal 5 2 3 2 3 4 2 3" xfId="13294" xr:uid="{8099788A-72E8-476C-BF7B-A99A25B15051}"/>
    <cellStyle name="Normal 5 2 3 2 3 4 3" xfId="6040" xr:uid="{00000000-0005-0000-0000-000069180000}"/>
    <cellStyle name="Normal 5 2 3 2 3 4 3 2" xfId="15366" xr:uid="{62930DA9-DF8B-4074-889A-724A33BE521C}"/>
    <cellStyle name="Normal 5 2 3 2 3 4 4" xfId="11149" xr:uid="{BE3C7174-4819-4876-BC5A-3520B1EACED3}"/>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37F1A579-140B-486D-A14F-2100A6C1B9E7}"/>
    <cellStyle name="Normal 5 2 3 2 3 5 2 3" xfId="13707" xr:uid="{71BC935C-3C3F-4EEA-852D-8058DF0EC7CA}"/>
    <cellStyle name="Normal 5 2 3 2 3 5 3" xfId="6453" xr:uid="{00000000-0005-0000-0000-00006D180000}"/>
    <cellStyle name="Normal 5 2 3 2 3 5 3 2" xfId="15779" xr:uid="{78073C7E-C022-40F5-B342-A792C66F4C73}"/>
    <cellStyle name="Normal 5 2 3 2 3 5 4" xfId="11562" xr:uid="{E1D8E99B-9426-4F5B-A9D1-16DD06742863}"/>
    <cellStyle name="Normal 5 2 3 2 3 6" xfId="2583" xr:uid="{00000000-0005-0000-0000-00006E180000}"/>
    <cellStyle name="Normal 5 2 3 2 3 6 2" xfId="6866" xr:uid="{00000000-0005-0000-0000-00006F180000}"/>
    <cellStyle name="Normal 5 2 3 2 3 6 2 2" xfId="16192" xr:uid="{D797F18A-689C-4FA4-BB5C-299A81BD521E}"/>
    <cellStyle name="Normal 5 2 3 2 3 6 3" xfId="11975" xr:uid="{B13F88E2-B1C2-41C6-AAA8-5958943A520A}"/>
    <cellStyle name="Normal 5 2 3 2 3 7" xfId="4801" xr:uid="{00000000-0005-0000-0000-000070180000}"/>
    <cellStyle name="Normal 5 2 3 2 3 7 2" xfId="14127" xr:uid="{E6CA9BDB-1C47-471C-AF1F-F7D445962001}"/>
    <cellStyle name="Normal 5 2 3 2 3 8" xfId="9037" xr:uid="{EED46D7F-EFCD-4AC1-931D-AB06B694E7BE}"/>
    <cellStyle name="Normal 5 2 3 2 3 9" xfId="9910" xr:uid="{920DEFEA-8997-4DF9-8084-BD3A8F1B0CF2}"/>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AF5660DA-5A06-46A5-A622-F08DB5E77FE1}"/>
    <cellStyle name="Normal 5 2 3 2 4 2 3" xfId="12465" xr:uid="{33C27B2A-DDA2-4D83-BDB0-954360866E24}"/>
    <cellStyle name="Normal 5 2 3 2 4 3" xfId="5211" xr:uid="{00000000-0005-0000-0000-000074180000}"/>
    <cellStyle name="Normal 5 2 3 2 4 3 2" xfId="14537" xr:uid="{7CC57185-5450-4FCD-8D60-9543EE6D89BC}"/>
    <cellStyle name="Normal 5 2 3 2 4 4" xfId="9255" xr:uid="{C5A161BB-6C4F-4A9D-BBA7-7500B0B26A70}"/>
    <cellStyle name="Normal 5 2 3 2 4 5" xfId="10320" xr:uid="{4EFB7533-CF46-4986-AFCD-A9E3A996E9DC}"/>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4D072210-4A0E-4560-9658-21D982C47112}"/>
    <cellStyle name="Normal 5 2 3 2 5 2 3" xfId="12878" xr:uid="{ACBCC8C6-2562-4239-88BB-BE87241D75D6}"/>
    <cellStyle name="Normal 5 2 3 2 5 3" xfId="5624" xr:uid="{00000000-0005-0000-0000-000078180000}"/>
    <cellStyle name="Normal 5 2 3 2 5 3 2" xfId="14950" xr:uid="{82BF69E4-DA63-4353-86BE-8656CEEA9715}"/>
    <cellStyle name="Normal 5 2 3 2 5 4" xfId="10733" xr:uid="{9C848B31-7F2C-4C2A-BDE1-0D5A63599B1D}"/>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80AA7539-856B-4AF7-803F-967913F43A56}"/>
    <cellStyle name="Normal 5 2 3 2 6 2 3" xfId="13291" xr:uid="{39624642-8BEE-44FD-B5F0-B4E3062A6AAB}"/>
    <cellStyle name="Normal 5 2 3 2 6 3" xfId="6037" xr:uid="{00000000-0005-0000-0000-00007C180000}"/>
    <cellStyle name="Normal 5 2 3 2 6 3 2" xfId="15363" xr:uid="{24E12441-375F-4242-B67C-234416B792CC}"/>
    <cellStyle name="Normal 5 2 3 2 6 4" xfId="11146" xr:uid="{78A22B33-A88E-4057-8B06-A9C9268564BA}"/>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617D2B42-23DB-4091-BDA2-01A3146C8554}"/>
    <cellStyle name="Normal 5 2 3 2 7 2 3" xfId="13704" xr:uid="{48CFDE1B-1527-4DA2-963A-BCAB1B45F34A}"/>
    <cellStyle name="Normal 5 2 3 2 7 3" xfId="6450" xr:uid="{00000000-0005-0000-0000-000080180000}"/>
    <cellStyle name="Normal 5 2 3 2 7 3 2" xfId="15776" xr:uid="{CCB20ED4-9097-4DF9-ABC6-08DB370AF6C4}"/>
    <cellStyle name="Normal 5 2 3 2 7 4" xfId="11559" xr:uid="{05B6546F-A962-42E3-BAC1-A66A4B9994F5}"/>
    <cellStyle name="Normal 5 2 3 2 8" xfId="2580" xr:uid="{00000000-0005-0000-0000-000081180000}"/>
    <cellStyle name="Normal 5 2 3 2 8 2" xfId="6863" xr:uid="{00000000-0005-0000-0000-000082180000}"/>
    <cellStyle name="Normal 5 2 3 2 8 2 2" xfId="16189" xr:uid="{A5025047-9D36-4AC7-947F-5612E63DEC56}"/>
    <cellStyle name="Normal 5 2 3 2 8 3" xfId="11972" xr:uid="{BD972870-A9EA-4528-99DF-CE5DD6078674}"/>
    <cellStyle name="Normal 5 2 3 2 9" xfId="4798" xr:uid="{00000000-0005-0000-0000-000083180000}"/>
    <cellStyle name="Normal 5 2 3 2 9 2" xfId="14124" xr:uid="{1E6233C1-145D-4EA1-A173-2C7FD3842D69}"/>
    <cellStyle name="Normal 5 2 3 3" xfId="429" xr:uid="{00000000-0005-0000-0000-000084180000}"/>
    <cellStyle name="Normal 5 2 3 3 10" xfId="9911" xr:uid="{B78682EA-5DB6-4990-A267-951001542FBA}"/>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CC7A1FA8-E10C-4685-990B-775BC7406871}"/>
    <cellStyle name="Normal 5 2 3 3 2 2 2 3" xfId="12470" xr:uid="{F4105352-EE76-4CEC-8A88-F46618028B91}"/>
    <cellStyle name="Normal 5 2 3 3 2 2 3" xfId="5216" xr:uid="{00000000-0005-0000-0000-000089180000}"/>
    <cellStyle name="Normal 5 2 3 3 2 2 3 2" xfId="14542" xr:uid="{C2FB23D7-0ECB-424C-A086-CD28AA3C4741}"/>
    <cellStyle name="Normal 5 2 3 3 2 2 4" xfId="9511" xr:uid="{75EF02F8-0397-4B30-A858-343ADCA7C08D}"/>
    <cellStyle name="Normal 5 2 3 3 2 2 5" xfId="10325" xr:uid="{98C6DF04-7625-404E-9F81-CE7771864849}"/>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37D76900-84F0-47B0-9FDF-88C8B24E5684}"/>
    <cellStyle name="Normal 5 2 3 3 2 3 2 3" xfId="12883" xr:uid="{A770C8BD-0403-4F44-B361-3B86B1B8746A}"/>
    <cellStyle name="Normal 5 2 3 3 2 3 3" xfId="5629" xr:uid="{00000000-0005-0000-0000-00008D180000}"/>
    <cellStyle name="Normal 5 2 3 3 2 3 3 2" xfId="14955" xr:uid="{AE53B610-B78A-44D1-AABB-715E88272E5F}"/>
    <cellStyle name="Normal 5 2 3 3 2 3 4" xfId="10738" xr:uid="{24D00A30-709A-4671-9EF9-B34D45292B5C}"/>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137D9D87-D385-4084-BDDF-B60E59F6F9CD}"/>
    <cellStyle name="Normal 5 2 3 3 2 4 2 3" xfId="13296" xr:uid="{CEB0DF0F-9CB8-49AA-9656-112F54551A8E}"/>
    <cellStyle name="Normal 5 2 3 3 2 4 3" xfId="6042" xr:uid="{00000000-0005-0000-0000-000091180000}"/>
    <cellStyle name="Normal 5 2 3 3 2 4 3 2" xfId="15368" xr:uid="{8FFE301D-F653-47CD-8E29-46A50FBA9674}"/>
    <cellStyle name="Normal 5 2 3 3 2 4 4" xfId="11151" xr:uid="{056E1045-AF31-43C4-8058-4A85FB6F8F89}"/>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29C12A43-87AB-4769-A6A5-44C44E1F00C3}"/>
    <cellStyle name="Normal 5 2 3 3 2 5 2 3" xfId="13709" xr:uid="{04862E61-1BFB-4BB9-8ADB-08AFDFD878DC}"/>
    <cellStyle name="Normal 5 2 3 3 2 5 3" xfId="6455" xr:uid="{00000000-0005-0000-0000-000095180000}"/>
    <cellStyle name="Normal 5 2 3 3 2 5 3 2" xfId="15781" xr:uid="{2ECB31CC-54CE-4033-AF5E-EC8A88AAB34B}"/>
    <cellStyle name="Normal 5 2 3 3 2 5 4" xfId="11564" xr:uid="{4B35EA1B-CF27-41D6-9A5A-91E08F07BE77}"/>
    <cellStyle name="Normal 5 2 3 3 2 6" xfId="2585" xr:uid="{00000000-0005-0000-0000-000096180000}"/>
    <cellStyle name="Normal 5 2 3 3 2 6 2" xfId="6868" xr:uid="{00000000-0005-0000-0000-000097180000}"/>
    <cellStyle name="Normal 5 2 3 3 2 6 2 2" xfId="16194" xr:uid="{B8E1B941-6F7B-49CC-8330-F305D2ADC371}"/>
    <cellStyle name="Normal 5 2 3 3 2 6 3" xfId="11977" xr:uid="{67D1F5CC-E07C-447E-9358-FA3DC87BB9B4}"/>
    <cellStyle name="Normal 5 2 3 3 2 7" xfId="4803" xr:uid="{00000000-0005-0000-0000-000098180000}"/>
    <cellStyle name="Normal 5 2 3 3 2 7 2" xfId="14129" xr:uid="{10059745-E880-445A-A172-64AE1876D42E}"/>
    <cellStyle name="Normal 5 2 3 3 2 8" xfId="9086" xr:uid="{442E5F61-F00C-4774-822F-4985AB3E1CB7}"/>
    <cellStyle name="Normal 5 2 3 3 2 9" xfId="9912" xr:uid="{1072B7BB-4617-4535-9320-F6FFA7D8207B}"/>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12BF1513-8B98-4524-947D-75914E3F873F}"/>
    <cellStyle name="Normal 5 2 3 3 3 2 3" xfId="12469" xr:uid="{E48F5532-0779-423B-9CD7-056DA02987C2}"/>
    <cellStyle name="Normal 5 2 3 3 3 3" xfId="5215" xr:uid="{00000000-0005-0000-0000-00009C180000}"/>
    <cellStyle name="Normal 5 2 3 3 3 3 2" xfId="14541" xr:uid="{C9AA430D-7130-4F17-B9B9-3A301BA689BB}"/>
    <cellStyle name="Normal 5 2 3 3 3 4" xfId="9304" xr:uid="{2C783A77-F32A-4E64-807E-062B95DB0310}"/>
    <cellStyle name="Normal 5 2 3 3 3 5" xfId="10324" xr:uid="{4BB48C96-DAC2-4EB6-B89D-2199B30FB591}"/>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6C95EF46-EBA2-47BA-84A0-4495A47D9F44}"/>
    <cellStyle name="Normal 5 2 3 3 4 2 3" xfId="12882" xr:uid="{A9A15849-2209-400B-8C0C-810E341472FD}"/>
    <cellStyle name="Normal 5 2 3 3 4 3" xfId="5628" xr:uid="{00000000-0005-0000-0000-0000A0180000}"/>
    <cellStyle name="Normal 5 2 3 3 4 3 2" xfId="14954" xr:uid="{A0AD266F-CA2C-452B-BAEA-64159A6C230F}"/>
    <cellStyle name="Normal 5 2 3 3 4 4" xfId="10737" xr:uid="{C270546F-17C8-4F11-B178-82C32AFD5F27}"/>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D2246442-84BD-4ABC-B700-0658F0876ED5}"/>
    <cellStyle name="Normal 5 2 3 3 5 2 3" xfId="13295" xr:uid="{108D6078-3272-4EE2-AA8A-E99C30DE28E4}"/>
    <cellStyle name="Normal 5 2 3 3 5 3" xfId="6041" xr:uid="{00000000-0005-0000-0000-0000A4180000}"/>
    <cellStyle name="Normal 5 2 3 3 5 3 2" xfId="15367" xr:uid="{E914E8B8-D7D6-4760-BA8B-384D19E15E44}"/>
    <cellStyle name="Normal 5 2 3 3 5 4" xfId="11150" xr:uid="{EEF77EC4-A8E7-4710-B486-8ED78C0FAB63}"/>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A99D6052-38CE-477C-9CCF-E01191229B9D}"/>
    <cellStyle name="Normal 5 2 3 3 6 2 3" xfId="13708" xr:uid="{6A6E9400-A080-4349-8623-64957E06653D}"/>
    <cellStyle name="Normal 5 2 3 3 6 3" xfId="6454" xr:uid="{00000000-0005-0000-0000-0000A8180000}"/>
    <cellStyle name="Normal 5 2 3 3 6 3 2" xfId="15780" xr:uid="{DC383F4F-B152-4439-99C8-0912495FCF1B}"/>
    <cellStyle name="Normal 5 2 3 3 6 4" xfId="11563" xr:uid="{6616F473-5A35-4A6D-BCA5-A11664CA13EF}"/>
    <cellStyle name="Normal 5 2 3 3 7" xfId="2584" xr:uid="{00000000-0005-0000-0000-0000A9180000}"/>
    <cellStyle name="Normal 5 2 3 3 7 2" xfId="6867" xr:uid="{00000000-0005-0000-0000-0000AA180000}"/>
    <cellStyle name="Normal 5 2 3 3 7 2 2" xfId="16193" xr:uid="{3CCA34A0-32AB-44A0-A8A8-60A693C667C6}"/>
    <cellStyle name="Normal 5 2 3 3 7 3" xfId="11976" xr:uid="{566C7FE6-00A0-4ABB-B99A-05B3780172C3}"/>
    <cellStyle name="Normal 5 2 3 3 8" xfId="4802" xr:uid="{00000000-0005-0000-0000-0000AB180000}"/>
    <cellStyle name="Normal 5 2 3 3 8 2" xfId="14128" xr:uid="{83DFE4AD-3AA1-4A6F-9714-6A3F6E754C76}"/>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5B014B67-E4A2-453E-8E00-042739F389A6}"/>
    <cellStyle name="Normal 5 2 3 4 2 2 3" xfId="12471" xr:uid="{922BD42E-E247-401C-8015-5760C3629CE3}"/>
    <cellStyle name="Normal 5 2 3 4 2 3" xfId="5217" xr:uid="{00000000-0005-0000-0000-0000B0180000}"/>
    <cellStyle name="Normal 5 2 3 4 2 3 2" xfId="14543" xr:uid="{72C04EC2-5935-42B7-9E14-714282C85CB1}"/>
    <cellStyle name="Normal 5 2 3 4 2 4" xfId="9408" xr:uid="{3B6F9C6F-3D7C-45F8-99FE-451C0F8CED36}"/>
    <cellStyle name="Normal 5 2 3 4 2 5" xfId="10326" xr:uid="{DC634EFC-2385-46CB-9A5C-4DB5153609EE}"/>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7E0C1D9F-6955-4422-BFCF-40D25F081D3C}"/>
    <cellStyle name="Normal 5 2 3 4 3 2 3" xfId="12884" xr:uid="{6E705E81-668D-4A21-9627-C350B159B268}"/>
    <cellStyle name="Normal 5 2 3 4 3 3" xfId="5630" xr:uid="{00000000-0005-0000-0000-0000B4180000}"/>
    <cellStyle name="Normal 5 2 3 4 3 3 2" xfId="14956" xr:uid="{4C2B7AAD-75C9-4CE6-A315-F8A664E4232F}"/>
    <cellStyle name="Normal 5 2 3 4 3 4" xfId="10739" xr:uid="{62253ED3-2E4A-409D-BFA2-1A7051E3B63E}"/>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2FBF7DAA-7514-4185-9667-3D6D5734458F}"/>
    <cellStyle name="Normal 5 2 3 4 4 2 3" xfId="13297" xr:uid="{5F94CA71-3162-479E-AABE-C1C8641F5B44}"/>
    <cellStyle name="Normal 5 2 3 4 4 3" xfId="6043" xr:uid="{00000000-0005-0000-0000-0000B8180000}"/>
    <cellStyle name="Normal 5 2 3 4 4 3 2" xfId="15369" xr:uid="{86CD99E2-9DBB-4929-A9FC-60F910A7760D}"/>
    <cellStyle name="Normal 5 2 3 4 4 4" xfId="11152" xr:uid="{D47492CA-BFB8-4A86-A2EA-FDE9E2B352A0}"/>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13A60B1C-4336-40BC-B706-4314FB456436}"/>
    <cellStyle name="Normal 5 2 3 4 5 2 3" xfId="13710" xr:uid="{8560E931-3497-46D6-8D07-8C674FF109D2}"/>
    <cellStyle name="Normal 5 2 3 4 5 3" xfId="6456" xr:uid="{00000000-0005-0000-0000-0000BC180000}"/>
    <cellStyle name="Normal 5 2 3 4 5 3 2" xfId="15782" xr:uid="{54D61624-02B0-4DEE-9367-C94D6AADD437}"/>
    <cellStyle name="Normal 5 2 3 4 5 4" xfId="11565" xr:uid="{5AE23D48-D4B8-4CB8-A9C4-1BFE517421EB}"/>
    <cellStyle name="Normal 5 2 3 4 6" xfId="2586" xr:uid="{00000000-0005-0000-0000-0000BD180000}"/>
    <cellStyle name="Normal 5 2 3 4 6 2" xfId="6869" xr:uid="{00000000-0005-0000-0000-0000BE180000}"/>
    <cellStyle name="Normal 5 2 3 4 6 2 2" xfId="16195" xr:uid="{5B5BB31B-D9E2-4C85-AC00-DDCCC566F3EB}"/>
    <cellStyle name="Normal 5 2 3 4 6 3" xfId="11978" xr:uid="{35C6F1F0-3C4B-4BA2-A268-75573B331CE1}"/>
    <cellStyle name="Normal 5 2 3 4 7" xfId="4804" xr:uid="{00000000-0005-0000-0000-0000BF180000}"/>
    <cellStyle name="Normal 5 2 3 4 7 2" xfId="14130" xr:uid="{9D651BA1-0373-40AC-8DE5-61B590C2C0DE}"/>
    <cellStyle name="Normal 5 2 3 4 8" xfId="8983" xr:uid="{07388FCC-03DE-4CE8-89CB-9C92F8174E24}"/>
    <cellStyle name="Normal 5 2 3 4 9" xfId="9913" xr:uid="{F7997B15-C996-4BDA-96CE-D4894D4CAE20}"/>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DBCDC098-4A22-4C49-9420-E6E698BF90DA}"/>
    <cellStyle name="Normal 5 2 3 5 2 3" xfId="12464" xr:uid="{F3DA134D-8D27-4A5A-81D1-155429B973B0}"/>
    <cellStyle name="Normal 5 2 3 5 3" xfId="5210" xr:uid="{00000000-0005-0000-0000-0000C3180000}"/>
    <cellStyle name="Normal 5 2 3 5 3 2" xfId="14536" xr:uid="{F2627110-AA3F-4253-8931-E3D7E5E8E270}"/>
    <cellStyle name="Normal 5 2 3 5 4" xfId="9200" xr:uid="{13DE827A-4007-427A-9869-ADBBE6B70993}"/>
    <cellStyle name="Normal 5 2 3 5 5" xfId="10319" xr:uid="{59599DCA-BE2E-455A-BBEC-6CA286DD3EBA}"/>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F073BB91-7E21-44A8-85B5-5880A378C389}"/>
    <cellStyle name="Normal 5 2 3 6 2 3" xfId="12877" xr:uid="{5B82891F-1550-4AB9-B7AA-2919B5E1336C}"/>
    <cellStyle name="Normal 5 2 3 6 3" xfId="5623" xr:uid="{00000000-0005-0000-0000-0000C7180000}"/>
    <cellStyle name="Normal 5 2 3 6 3 2" xfId="14949" xr:uid="{7ABB251A-13C8-4A2C-873D-7F7E83D41B70}"/>
    <cellStyle name="Normal 5 2 3 6 4" xfId="10732" xr:uid="{1BB70542-66F4-4D35-B781-A5B260D6EFCF}"/>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035FA8EF-5995-4494-AF21-BE0AB743A8DA}"/>
    <cellStyle name="Normal 5 2 3 7 2 3" xfId="13290" xr:uid="{E3C8BEF2-E8BB-40E2-A5FE-CC67E2BA224F}"/>
    <cellStyle name="Normal 5 2 3 7 3" xfId="6036" xr:uid="{00000000-0005-0000-0000-0000CB180000}"/>
    <cellStyle name="Normal 5 2 3 7 3 2" xfId="15362" xr:uid="{21E5B8DB-7475-4E9B-9AEF-816BE52FB3DF}"/>
    <cellStyle name="Normal 5 2 3 7 4" xfId="11145" xr:uid="{7D006C7A-A1C2-42C9-A518-E0AB81C55006}"/>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386D6070-C8D9-4554-8F48-50A1224AD600}"/>
    <cellStyle name="Normal 5 2 3 8 2 3" xfId="13703" xr:uid="{4467CDFE-310B-4EE5-BF84-078382B3A4ED}"/>
    <cellStyle name="Normal 5 2 3 8 3" xfId="6449" xr:uid="{00000000-0005-0000-0000-0000CF180000}"/>
    <cellStyle name="Normal 5 2 3 8 3 2" xfId="15775" xr:uid="{5E13828A-BEB6-4852-B577-8D86103A2135}"/>
    <cellStyle name="Normal 5 2 3 8 4" xfId="11558" xr:uid="{2907E279-86F1-4D32-AEEE-6A09C8A1F3CE}"/>
    <cellStyle name="Normal 5 2 3 9" xfId="2579" xr:uid="{00000000-0005-0000-0000-0000D0180000}"/>
    <cellStyle name="Normal 5 2 3 9 2" xfId="6862" xr:uid="{00000000-0005-0000-0000-0000D1180000}"/>
    <cellStyle name="Normal 5 2 3 9 2 2" xfId="16188" xr:uid="{18F8F656-C94F-4706-BB8D-CC3DDFC35926}"/>
    <cellStyle name="Normal 5 2 3 9 3" xfId="11971" xr:uid="{20603897-F753-4B44-BECF-C41F5BFA3B35}"/>
    <cellStyle name="Normal 5 2 4" xfId="432" xr:uid="{00000000-0005-0000-0000-0000D2180000}"/>
    <cellStyle name="Normal 5 2 4 10" xfId="8827" xr:uid="{1EC4F605-F0BA-487E-A3C0-2CBAE7C22D8A}"/>
    <cellStyle name="Normal 5 2 4 11" xfId="9914" xr:uid="{843335DE-B196-4F55-82B6-933A7D66E63E}"/>
    <cellStyle name="Normal 5 2 4 2" xfId="433" xr:uid="{00000000-0005-0000-0000-0000D3180000}"/>
    <cellStyle name="Normal 5 2 4 2 10" xfId="9915" xr:uid="{542D41AD-0962-4F13-B5BE-AC9E62AD495D}"/>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8CB915E2-B1F5-4B86-AB32-006AB010C8E4}"/>
    <cellStyle name="Normal 5 2 4 2 2 2 2 3" xfId="12474" xr:uid="{8EF8E692-4FA4-4F5F-8F44-F6D05C4EFBA8}"/>
    <cellStyle name="Normal 5 2 4 2 2 2 3" xfId="5220" xr:uid="{00000000-0005-0000-0000-0000D8180000}"/>
    <cellStyle name="Normal 5 2 4 2 2 2 3 2" xfId="14546" xr:uid="{5BD04692-A505-4D84-BF41-B19B177077D0}"/>
    <cellStyle name="Normal 5 2 4 2 2 2 4" xfId="9562" xr:uid="{5E243FB4-F3B1-4B34-B377-1444454AD19E}"/>
    <cellStyle name="Normal 5 2 4 2 2 2 5" xfId="10329" xr:uid="{A7F6BF64-939A-448C-9DE5-7C39EFEC1798}"/>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97A5883F-DAFA-43E3-9E7B-A3F8D8D3944B}"/>
    <cellStyle name="Normal 5 2 4 2 2 3 2 3" xfId="12887" xr:uid="{C159248B-EFC6-4B88-A724-EDFD557260CF}"/>
    <cellStyle name="Normal 5 2 4 2 2 3 3" xfId="5633" xr:uid="{00000000-0005-0000-0000-0000DC180000}"/>
    <cellStyle name="Normal 5 2 4 2 2 3 3 2" xfId="14959" xr:uid="{F23E029C-FC58-4823-A336-B86B4E1531DC}"/>
    <cellStyle name="Normal 5 2 4 2 2 3 4" xfId="10742" xr:uid="{34E43A97-F7F9-40AD-90DD-0F3759BCA7C8}"/>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86823D06-7D73-4B74-81B9-69083F048822}"/>
    <cellStyle name="Normal 5 2 4 2 2 4 2 3" xfId="13300" xr:uid="{829F3626-81D6-4773-9DD7-EB282CE5A61E}"/>
    <cellStyle name="Normal 5 2 4 2 2 4 3" xfId="6046" xr:uid="{00000000-0005-0000-0000-0000E0180000}"/>
    <cellStyle name="Normal 5 2 4 2 2 4 3 2" xfId="15372" xr:uid="{7666FBA8-8A4C-40FD-9EBF-10737BE6FBCA}"/>
    <cellStyle name="Normal 5 2 4 2 2 4 4" xfId="11155" xr:uid="{836CEE77-65E8-4109-813E-4F1FC63B2D08}"/>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B7560DD9-7B56-4099-BFB9-1B3979F4E692}"/>
    <cellStyle name="Normal 5 2 4 2 2 5 2 3" xfId="13713" xr:uid="{C99C737B-2AF7-4C01-836C-F2D2836CCFC6}"/>
    <cellStyle name="Normal 5 2 4 2 2 5 3" xfId="6459" xr:uid="{00000000-0005-0000-0000-0000E4180000}"/>
    <cellStyle name="Normal 5 2 4 2 2 5 3 2" xfId="15785" xr:uid="{BC9DFD97-7D20-481A-B6C8-02E5F4F7F87F}"/>
    <cellStyle name="Normal 5 2 4 2 2 5 4" xfId="11568" xr:uid="{37898332-A62B-42C3-911C-4F04014DA5F2}"/>
    <cellStyle name="Normal 5 2 4 2 2 6" xfId="2589" xr:uid="{00000000-0005-0000-0000-0000E5180000}"/>
    <cellStyle name="Normal 5 2 4 2 2 6 2" xfId="6872" xr:uid="{00000000-0005-0000-0000-0000E6180000}"/>
    <cellStyle name="Normal 5 2 4 2 2 6 2 2" xfId="16198" xr:uid="{195CCF64-C726-43EE-BEA6-EF20D613DAE8}"/>
    <cellStyle name="Normal 5 2 4 2 2 6 3" xfId="11981" xr:uid="{14C2829D-7D25-47E1-8BDA-2F448BDDBA91}"/>
    <cellStyle name="Normal 5 2 4 2 2 7" xfId="4807" xr:uid="{00000000-0005-0000-0000-0000E7180000}"/>
    <cellStyle name="Normal 5 2 4 2 2 7 2" xfId="14133" xr:uid="{1E2107C4-589A-4EA5-A27D-B70451F9226E}"/>
    <cellStyle name="Normal 5 2 4 2 2 8" xfId="9137" xr:uid="{C80E4B27-40CA-4953-ABB8-99E2C575F775}"/>
    <cellStyle name="Normal 5 2 4 2 2 9" xfId="9916" xr:uid="{3065CC77-DF39-43A8-9860-26953AD9AC41}"/>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054E4AF4-DC6A-4E5B-B950-090399A9F6E3}"/>
    <cellStyle name="Normal 5 2 4 2 3 2 3" xfId="12473" xr:uid="{FFD4FA96-E7C9-4A24-9E78-980CE890EF20}"/>
    <cellStyle name="Normal 5 2 4 2 3 3" xfId="5219" xr:uid="{00000000-0005-0000-0000-0000EB180000}"/>
    <cellStyle name="Normal 5 2 4 2 3 3 2" xfId="14545" xr:uid="{ACFB8DEB-2133-47F0-8D59-D27C19059DA1}"/>
    <cellStyle name="Normal 5 2 4 2 3 4" xfId="9355" xr:uid="{9D38A6AA-2F63-4275-9FB8-F86A15F6A4D3}"/>
    <cellStyle name="Normal 5 2 4 2 3 5" xfId="10328" xr:uid="{05E75454-5D26-43EB-B834-7C9DBB6B71DC}"/>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559C5142-2542-45AF-B41C-30C07B375FAF}"/>
    <cellStyle name="Normal 5 2 4 2 4 2 3" xfId="12886" xr:uid="{959465BF-8C80-435B-8DFB-D142A9CFC180}"/>
    <cellStyle name="Normal 5 2 4 2 4 3" xfId="5632" xr:uid="{00000000-0005-0000-0000-0000EF180000}"/>
    <cellStyle name="Normal 5 2 4 2 4 3 2" xfId="14958" xr:uid="{AD75EF5C-8184-4372-A03E-645CB29E6E54}"/>
    <cellStyle name="Normal 5 2 4 2 4 4" xfId="10741" xr:uid="{2818BA46-5C89-4092-A05C-2CF0B6A1D357}"/>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E5BBBB7D-03E0-4761-902B-40F638516C4F}"/>
    <cellStyle name="Normal 5 2 4 2 5 2 3" xfId="13299" xr:uid="{9A46C44C-559C-4175-9746-673806E4896D}"/>
    <cellStyle name="Normal 5 2 4 2 5 3" xfId="6045" xr:uid="{00000000-0005-0000-0000-0000F3180000}"/>
    <cellStyle name="Normal 5 2 4 2 5 3 2" xfId="15371" xr:uid="{D658DB55-C92A-46ED-9F49-E2BB5C761EF8}"/>
    <cellStyle name="Normal 5 2 4 2 5 4" xfId="11154" xr:uid="{69AA7C0F-D2D8-433B-A86B-51AFBD3182A0}"/>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FF52EF46-D686-42C6-BBEE-E5776AEF1349}"/>
    <cellStyle name="Normal 5 2 4 2 6 2 3" xfId="13712" xr:uid="{47129A2C-1765-494B-989E-0B247C639F05}"/>
    <cellStyle name="Normal 5 2 4 2 6 3" xfId="6458" xr:uid="{00000000-0005-0000-0000-0000F7180000}"/>
    <cellStyle name="Normal 5 2 4 2 6 3 2" xfId="15784" xr:uid="{55974144-F37F-46AF-B1D9-5777721AA922}"/>
    <cellStyle name="Normal 5 2 4 2 6 4" xfId="11567" xr:uid="{20285469-46F7-4670-ABC0-22BC15877183}"/>
    <cellStyle name="Normal 5 2 4 2 7" xfId="2588" xr:uid="{00000000-0005-0000-0000-0000F8180000}"/>
    <cellStyle name="Normal 5 2 4 2 7 2" xfId="6871" xr:uid="{00000000-0005-0000-0000-0000F9180000}"/>
    <cellStyle name="Normal 5 2 4 2 7 2 2" xfId="16197" xr:uid="{D2748530-4C15-466C-BC4C-AF0646D1502E}"/>
    <cellStyle name="Normal 5 2 4 2 7 3" xfId="11980" xr:uid="{57BC59F8-4FC6-4B23-B14E-9AD28859FC3F}"/>
    <cellStyle name="Normal 5 2 4 2 8" xfId="4806" xr:uid="{00000000-0005-0000-0000-0000FA180000}"/>
    <cellStyle name="Normal 5 2 4 2 8 2" xfId="14132" xr:uid="{92ACEEB0-1240-404E-BFF9-A731EB16C6E9}"/>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8D9F9349-6A46-4177-ACF5-96FD577A8F3E}"/>
    <cellStyle name="Normal 5 2 4 3 2 2 3" xfId="12475" xr:uid="{EF503F90-1920-4609-83AE-DCC9C3BE9B37}"/>
    <cellStyle name="Normal 5 2 4 3 2 3" xfId="5221" xr:uid="{00000000-0005-0000-0000-0000FF180000}"/>
    <cellStyle name="Normal 5 2 4 3 2 3 2" xfId="14547" xr:uid="{57ABF2D1-A2C8-446C-8986-7F1F3F8A9000}"/>
    <cellStyle name="Normal 5 2 4 3 2 4" xfId="9459" xr:uid="{ED2A936E-5624-4B26-A175-3FCE68E1BF5A}"/>
    <cellStyle name="Normal 5 2 4 3 2 5" xfId="10330" xr:uid="{6DAD0B03-7E30-41B4-8E6C-D3406683C8C4}"/>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99319F61-5417-4DEB-8116-04CC1EE4B48D}"/>
    <cellStyle name="Normal 5 2 4 3 3 2 3" xfId="12888" xr:uid="{14350790-89C1-46CA-B75D-02EA29BA1B4F}"/>
    <cellStyle name="Normal 5 2 4 3 3 3" xfId="5634" xr:uid="{00000000-0005-0000-0000-000003190000}"/>
    <cellStyle name="Normal 5 2 4 3 3 3 2" xfId="14960" xr:uid="{AD56BAD8-69CA-4747-8BA1-A15D5C5BC955}"/>
    <cellStyle name="Normal 5 2 4 3 3 4" xfId="10743" xr:uid="{B421BC2B-B477-46F3-AB5C-E7566B7A523C}"/>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AD77FF9C-EF23-47D0-A0B3-42B861AA08F2}"/>
    <cellStyle name="Normal 5 2 4 3 4 2 3" xfId="13301" xr:uid="{950F908D-6652-43E5-970F-7707114FC9E2}"/>
    <cellStyle name="Normal 5 2 4 3 4 3" xfId="6047" xr:uid="{00000000-0005-0000-0000-000007190000}"/>
    <cellStyle name="Normal 5 2 4 3 4 3 2" xfId="15373" xr:uid="{CA12036A-005D-4920-BDF7-D072BBFF6847}"/>
    <cellStyle name="Normal 5 2 4 3 4 4" xfId="11156" xr:uid="{19100019-C13F-4D16-BE2A-F4A13D26C593}"/>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D84C5EE8-CC90-4AFC-B1E8-6585F2B9A692}"/>
    <cellStyle name="Normal 5 2 4 3 5 2 3" xfId="13714" xr:uid="{CA78017F-B944-44AD-964C-6590A18C5DDE}"/>
    <cellStyle name="Normal 5 2 4 3 5 3" xfId="6460" xr:uid="{00000000-0005-0000-0000-00000B190000}"/>
    <cellStyle name="Normal 5 2 4 3 5 3 2" xfId="15786" xr:uid="{383E8E04-2E70-403E-BD11-A5ACD213D19A}"/>
    <cellStyle name="Normal 5 2 4 3 5 4" xfId="11569" xr:uid="{441ED4CA-2BC7-4B9F-8EAB-D7A548450EEC}"/>
    <cellStyle name="Normal 5 2 4 3 6" xfId="2590" xr:uid="{00000000-0005-0000-0000-00000C190000}"/>
    <cellStyle name="Normal 5 2 4 3 6 2" xfId="6873" xr:uid="{00000000-0005-0000-0000-00000D190000}"/>
    <cellStyle name="Normal 5 2 4 3 6 2 2" xfId="16199" xr:uid="{716D6C09-342C-475F-8B5B-70B891E95F78}"/>
    <cellStyle name="Normal 5 2 4 3 6 3" xfId="11982" xr:uid="{28A577BB-89EA-4ACE-8710-A9028BA31225}"/>
    <cellStyle name="Normal 5 2 4 3 7" xfId="4808" xr:uid="{00000000-0005-0000-0000-00000E190000}"/>
    <cellStyle name="Normal 5 2 4 3 7 2" xfId="14134" xr:uid="{ADF1C35A-6EE7-4A75-8E65-5EE2D6986072}"/>
    <cellStyle name="Normal 5 2 4 3 8" xfId="9034" xr:uid="{82D3DE5B-E868-4CF9-BA07-6E197DA4FAA5}"/>
    <cellStyle name="Normal 5 2 4 3 9" xfId="9917" xr:uid="{CCBE21BE-A3CC-4516-8BE4-359035806B27}"/>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28F27382-4480-4F99-AED8-5462C1D8E861}"/>
    <cellStyle name="Normal 5 2 4 4 2 3" xfId="12472" xr:uid="{A8E04478-9272-46BB-AC04-6CFBD523D06D}"/>
    <cellStyle name="Normal 5 2 4 4 3" xfId="5218" xr:uid="{00000000-0005-0000-0000-000012190000}"/>
    <cellStyle name="Normal 5 2 4 4 3 2" xfId="14544" xr:uid="{BBFC93A2-EF65-4BA2-9ABF-C712AAB415CD}"/>
    <cellStyle name="Normal 5 2 4 4 4" xfId="9252" xr:uid="{1D1A8EC4-7286-46A1-B40C-E987F273E760}"/>
    <cellStyle name="Normal 5 2 4 4 5" xfId="10327" xr:uid="{B90015B0-31F1-49B3-8B4D-2CB86ED2033C}"/>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64736E9E-ACC4-4783-AA3E-1F67890A393E}"/>
    <cellStyle name="Normal 5 2 4 5 2 3" xfId="12885" xr:uid="{F1423E64-039A-479D-815E-63AFC57924C6}"/>
    <cellStyle name="Normal 5 2 4 5 3" xfId="5631" xr:uid="{00000000-0005-0000-0000-000016190000}"/>
    <cellStyle name="Normal 5 2 4 5 3 2" xfId="14957" xr:uid="{577DEA28-D308-4C0D-9726-86FFE4CB752B}"/>
    <cellStyle name="Normal 5 2 4 5 4" xfId="10740" xr:uid="{0A116998-7C0A-4959-A8D0-BD916C6527AE}"/>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299B3829-20B5-46FE-93AE-6A53C1B0303C}"/>
    <cellStyle name="Normal 5 2 4 6 2 3" xfId="13298" xr:uid="{52C02FD8-F6A8-48FC-A855-8787292BB49F}"/>
    <cellStyle name="Normal 5 2 4 6 3" xfId="6044" xr:uid="{00000000-0005-0000-0000-00001A190000}"/>
    <cellStyle name="Normal 5 2 4 6 3 2" xfId="15370" xr:uid="{2FAD153A-2388-4F43-8D5B-25F784D504AC}"/>
    <cellStyle name="Normal 5 2 4 6 4" xfId="11153" xr:uid="{76384500-2F80-4474-8647-696DE0EF17F6}"/>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F7E09B27-5E9A-43FF-A6C1-F848B2ADCD16}"/>
    <cellStyle name="Normal 5 2 4 7 2 3" xfId="13711" xr:uid="{D4E0A3F0-01E8-4890-82FD-311D5E630A8D}"/>
    <cellStyle name="Normal 5 2 4 7 3" xfId="6457" xr:uid="{00000000-0005-0000-0000-00001E190000}"/>
    <cellStyle name="Normal 5 2 4 7 3 2" xfId="15783" xr:uid="{B75DAFA9-4AB3-42A3-8706-F4FEDD8B20F8}"/>
    <cellStyle name="Normal 5 2 4 7 4" xfId="11566" xr:uid="{8A2827CB-26B1-4504-B032-77FACD286BEB}"/>
    <cellStyle name="Normal 5 2 4 8" xfId="2587" xr:uid="{00000000-0005-0000-0000-00001F190000}"/>
    <cellStyle name="Normal 5 2 4 8 2" xfId="6870" xr:uid="{00000000-0005-0000-0000-000020190000}"/>
    <cellStyle name="Normal 5 2 4 8 2 2" xfId="16196" xr:uid="{43E70D2F-E2D7-4D88-9C6A-17782A75F906}"/>
    <cellStyle name="Normal 5 2 4 8 3" xfId="11979" xr:uid="{C82C0736-AD5B-484C-BB75-F528B8EBCF2C}"/>
    <cellStyle name="Normal 5 2 4 9" xfId="4805" xr:uid="{00000000-0005-0000-0000-000021190000}"/>
    <cellStyle name="Normal 5 2 4 9 2" xfId="14131" xr:uid="{6DC12E4B-1F4C-448C-A5AA-EB43E1127AF9}"/>
    <cellStyle name="Normal 5 2 5" xfId="436" xr:uid="{00000000-0005-0000-0000-000022190000}"/>
    <cellStyle name="Normal 5 2 5 10" xfId="9918" xr:uid="{867640C5-DA88-4E18-9E1C-0B6089DBBF31}"/>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0C5CA11E-4EE0-476E-AB4E-AF6FE91CF828}"/>
    <cellStyle name="Normal 5 2 5 2 2 2 3" xfId="12477" xr:uid="{CA51B908-F0A9-4C38-A6AD-40C59E96BBB2}"/>
    <cellStyle name="Normal 5 2 5 2 2 3" xfId="5223" xr:uid="{00000000-0005-0000-0000-000027190000}"/>
    <cellStyle name="Normal 5 2 5 2 2 3 2" xfId="14549" xr:uid="{8344A49E-9641-49DD-B955-E1E60C9A536E}"/>
    <cellStyle name="Normal 5 2 5 2 2 4" xfId="9479" xr:uid="{0DDFFFD4-5D62-4038-B6D4-9E9BD7CBA380}"/>
    <cellStyle name="Normal 5 2 5 2 2 5" xfId="10332" xr:uid="{49D7223C-AE2C-4CEE-AE33-F267DF05C72B}"/>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5D18DED8-D76A-4225-9D32-0611CFBB7B1A}"/>
    <cellStyle name="Normal 5 2 5 2 3 2 3" xfId="12890" xr:uid="{FC4D8ED8-4D71-4BCF-B770-D43B08C7A124}"/>
    <cellStyle name="Normal 5 2 5 2 3 3" xfId="5636" xr:uid="{00000000-0005-0000-0000-00002B190000}"/>
    <cellStyle name="Normal 5 2 5 2 3 3 2" xfId="14962" xr:uid="{2291E762-78C7-40C6-8EA0-74D0D4BD16B3}"/>
    <cellStyle name="Normal 5 2 5 2 3 4" xfId="10745" xr:uid="{760AF06A-3CED-4D12-AAE9-8AA439CD9D78}"/>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B8540687-A3BE-4C09-9020-E3FF7BF0C594}"/>
    <cellStyle name="Normal 5 2 5 2 4 2 3" xfId="13303" xr:uid="{E6FB5BE3-A4C6-453A-90C9-A46AE8E3BC98}"/>
    <cellStyle name="Normal 5 2 5 2 4 3" xfId="6049" xr:uid="{00000000-0005-0000-0000-00002F190000}"/>
    <cellStyle name="Normal 5 2 5 2 4 3 2" xfId="15375" xr:uid="{AAE8156E-8E2A-4B5A-9D79-1CC362661CB8}"/>
    <cellStyle name="Normal 5 2 5 2 4 4" xfId="11158" xr:uid="{77E59634-1FDC-4C01-BB60-5C45C1733BAC}"/>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C0FC367B-4386-48A7-943D-010B5CAD17F6}"/>
    <cellStyle name="Normal 5 2 5 2 5 2 3" xfId="13716" xr:uid="{294E557C-B8D7-476C-8DD1-083761275B1A}"/>
    <cellStyle name="Normal 5 2 5 2 5 3" xfId="6462" xr:uid="{00000000-0005-0000-0000-000033190000}"/>
    <cellStyle name="Normal 5 2 5 2 5 3 2" xfId="15788" xr:uid="{824284B3-E730-45F0-8FA4-4366B69A56C1}"/>
    <cellStyle name="Normal 5 2 5 2 5 4" xfId="11571" xr:uid="{2B7D3C0C-B52E-4F90-879D-4D9624136432}"/>
    <cellStyle name="Normal 5 2 5 2 6" xfId="2592" xr:uid="{00000000-0005-0000-0000-000034190000}"/>
    <cellStyle name="Normal 5 2 5 2 6 2" xfId="6875" xr:uid="{00000000-0005-0000-0000-000035190000}"/>
    <cellStyle name="Normal 5 2 5 2 6 2 2" xfId="16201" xr:uid="{4C283B5C-6DE4-4755-8F73-D22A400F84AA}"/>
    <cellStyle name="Normal 5 2 5 2 6 3" xfId="11984" xr:uid="{E509C4F9-5515-4817-9505-FAA93AFB4D87}"/>
    <cellStyle name="Normal 5 2 5 2 7" xfId="4810" xr:uid="{00000000-0005-0000-0000-000036190000}"/>
    <cellStyle name="Normal 5 2 5 2 7 2" xfId="14136" xr:uid="{72743660-AA06-4538-B5B6-9C5DF439409F}"/>
    <cellStyle name="Normal 5 2 5 2 8" xfId="9054" xr:uid="{844F6476-DDB9-4C38-A2B2-83AB0DCF1773}"/>
    <cellStyle name="Normal 5 2 5 2 9" xfId="9919" xr:uid="{258BFF16-258C-48F5-8617-2A023DFB6F1D}"/>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C312D2C3-4940-4357-B732-39BB1016D555}"/>
    <cellStyle name="Normal 5 2 5 3 2 3" xfId="12476" xr:uid="{1D1F57E6-9BCE-45B4-8295-F1E102BCD7F9}"/>
    <cellStyle name="Normal 5 2 5 3 3" xfId="5222" xr:uid="{00000000-0005-0000-0000-00003A190000}"/>
    <cellStyle name="Normal 5 2 5 3 3 2" xfId="14548" xr:uid="{CB06F565-CEBC-40DA-9C5B-90D7A6E55C8F}"/>
    <cellStyle name="Normal 5 2 5 3 4" xfId="9272" xr:uid="{8865498C-CC61-4C5F-A1F4-57A1D301E1CE}"/>
    <cellStyle name="Normal 5 2 5 3 5" xfId="10331" xr:uid="{EE4F6D22-F397-479C-8937-3EE166A8F482}"/>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4A74C435-E4EA-40D3-B87A-8A706BB164AA}"/>
    <cellStyle name="Normal 5 2 5 4 2 3" xfId="12889" xr:uid="{979924BF-B4F6-482F-9485-8BEDFF5B11B7}"/>
    <cellStyle name="Normal 5 2 5 4 3" xfId="5635" xr:uid="{00000000-0005-0000-0000-00003E190000}"/>
    <cellStyle name="Normal 5 2 5 4 3 2" xfId="14961" xr:uid="{498E57CF-5C41-4326-B2C5-B8B4DA3B24B4}"/>
    <cellStyle name="Normal 5 2 5 4 4" xfId="10744" xr:uid="{CA7B29C3-A80B-4BF3-B399-5A04C4B538D5}"/>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992F3553-2FF2-4709-9A26-23C689BC6E5B}"/>
    <cellStyle name="Normal 5 2 5 5 2 3" xfId="13302" xr:uid="{825FAB15-50F3-4F49-9577-34D13E47BCD6}"/>
    <cellStyle name="Normal 5 2 5 5 3" xfId="6048" xr:uid="{00000000-0005-0000-0000-000042190000}"/>
    <cellStyle name="Normal 5 2 5 5 3 2" xfId="15374" xr:uid="{6F08B5E0-CA55-4734-B1DD-E729610BCD98}"/>
    <cellStyle name="Normal 5 2 5 5 4" xfId="11157" xr:uid="{050D9866-6443-4CCB-ACE8-C610E7050FA5}"/>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9E0885AA-2A49-4C8F-9E49-AF6B0C08AA80}"/>
    <cellStyle name="Normal 5 2 5 6 2 3" xfId="13715" xr:uid="{57004108-1BD6-44E0-AC5C-90B67CE814C7}"/>
    <cellStyle name="Normal 5 2 5 6 3" xfId="6461" xr:uid="{00000000-0005-0000-0000-000046190000}"/>
    <cellStyle name="Normal 5 2 5 6 3 2" xfId="15787" xr:uid="{578263F2-E890-4C95-A0B3-E17DF99B879E}"/>
    <cellStyle name="Normal 5 2 5 6 4" xfId="11570" xr:uid="{717030F4-C53E-4EDC-AFFC-36BBF09D0718}"/>
    <cellStyle name="Normal 5 2 5 7" xfId="2591" xr:uid="{00000000-0005-0000-0000-000047190000}"/>
    <cellStyle name="Normal 5 2 5 7 2" xfId="6874" xr:uid="{00000000-0005-0000-0000-000048190000}"/>
    <cellStyle name="Normal 5 2 5 7 2 2" xfId="16200" xr:uid="{5BEFCED2-6A3D-4495-8476-E743984A51E8}"/>
    <cellStyle name="Normal 5 2 5 7 3" xfId="11983" xr:uid="{EBB5E4A5-F5CF-49F8-AFF5-3CEE1928AA23}"/>
    <cellStyle name="Normal 5 2 5 8" xfId="4809" xr:uid="{00000000-0005-0000-0000-000049190000}"/>
    <cellStyle name="Normal 5 2 5 8 2" xfId="14135" xr:uid="{E6D13337-9939-4E7A-9B9A-184D0C372AEC}"/>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8749F66D-1C2A-4E65-8DE2-C5FDC1EABB0D}"/>
    <cellStyle name="Normal 5 2 6 2 2 3" xfId="12478" xr:uid="{51BD86EA-9D80-43DB-9AC2-CD344F7C7297}"/>
    <cellStyle name="Normal 5 2 6 2 3" xfId="5224" xr:uid="{00000000-0005-0000-0000-00004E190000}"/>
    <cellStyle name="Normal 5 2 6 2 3 2" xfId="14550" xr:uid="{C43432A1-992F-4B11-9058-187E659CAA3D}"/>
    <cellStyle name="Normal 5 2 6 2 4" xfId="9388" xr:uid="{38BE55A5-085B-499D-8766-DF826B77D03C}"/>
    <cellStyle name="Normal 5 2 6 2 5" xfId="10333" xr:uid="{187EB640-C757-4E06-832F-BFE12BE152FC}"/>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279DFB44-306A-4AF4-B44D-03F932934EED}"/>
    <cellStyle name="Normal 5 2 6 3 2 3" xfId="12891" xr:uid="{4FD3988F-DECC-4DCD-B1D9-64BFFF9BC62D}"/>
    <cellStyle name="Normal 5 2 6 3 3" xfId="5637" xr:uid="{00000000-0005-0000-0000-000052190000}"/>
    <cellStyle name="Normal 5 2 6 3 3 2" xfId="14963" xr:uid="{E301A300-7E74-4F0A-8AAF-5A3E147F15A8}"/>
    <cellStyle name="Normal 5 2 6 3 4" xfId="10746" xr:uid="{07B275B2-D933-4440-AD0A-DC01EEF7114B}"/>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6C48E7D1-9F7D-4AD7-837E-09EA4E772384}"/>
    <cellStyle name="Normal 5 2 6 4 2 3" xfId="13304" xr:uid="{4A17D764-216F-4DDF-A936-2FCFBC31EA63}"/>
    <cellStyle name="Normal 5 2 6 4 3" xfId="6050" xr:uid="{00000000-0005-0000-0000-000056190000}"/>
    <cellStyle name="Normal 5 2 6 4 3 2" xfId="15376" xr:uid="{52061791-BBFB-44F7-8677-3C4ABAC1C398}"/>
    <cellStyle name="Normal 5 2 6 4 4" xfId="11159" xr:uid="{1138748F-C9CE-4265-94F5-8750487289BD}"/>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939FFC6D-6583-4EAC-B82F-385D3434F650}"/>
    <cellStyle name="Normal 5 2 6 5 2 3" xfId="13717" xr:uid="{3145F9C4-FB89-4340-912F-2A08668952E0}"/>
    <cellStyle name="Normal 5 2 6 5 3" xfId="6463" xr:uid="{00000000-0005-0000-0000-00005A190000}"/>
    <cellStyle name="Normal 5 2 6 5 3 2" xfId="15789" xr:uid="{DB100711-FAEA-425C-833E-918409F15B1A}"/>
    <cellStyle name="Normal 5 2 6 5 4" xfId="11572" xr:uid="{17F7B555-8306-4DE8-83B4-54C1047CBAE8}"/>
    <cellStyle name="Normal 5 2 6 6" xfId="2593" xr:uid="{00000000-0005-0000-0000-00005B190000}"/>
    <cellStyle name="Normal 5 2 6 6 2" xfId="6876" xr:uid="{00000000-0005-0000-0000-00005C190000}"/>
    <cellStyle name="Normal 5 2 6 6 2 2" xfId="16202" xr:uid="{71A5E5D1-670E-43E5-9C07-29B3414A0D6C}"/>
    <cellStyle name="Normal 5 2 6 6 3" xfId="11985" xr:uid="{1B419187-AFF8-497A-9DA0-A9AB0092F144}"/>
    <cellStyle name="Normal 5 2 6 7" xfId="4811" xr:uid="{00000000-0005-0000-0000-00005D190000}"/>
    <cellStyle name="Normal 5 2 6 7 2" xfId="14137" xr:uid="{7EDD8454-5412-458C-98DD-A65F6CB7A414}"/>
    <cellStyle name="Normal 5 2 6 8" xfId="8963" xr:uid="{01BDB756-0B70-4C0D-AC32-9959EE0C8F11}"/>
    <cellStyle name="Normal 5 2 6 9" xfId="9920" xr:uid="{124C0E9F-7BC2-4C82-BCB8-D5FF9D055C31}"/>
    <cellStyle name="Normal 5 2 7" xfId="881" xr:uid="{00000000-0005-0000-0000-00005E190000}"/>
    <cellStyle name="Normal 5 2 7 2" xfId="3116" xr:uid="{00000000-0005-0000-0000-00005F190000}"/>
    <cellStyle name="Normal 5 2 7 2 2" xfId="7338" xr:uid="{00000000-0005-0000-0000-000060190000}"/>
    <cellStyle name="Normal 5 2 7 2 2 2" xfId="16664" xr:uid="{02C6695E-2E3D-477D-8275-E1B0A0EF9074}"/>
    <cellStyle name="Normal 5 2 7 2 3" xfId="12447" xr:uid="{1FD8C3FA-7C7F-44DF-88C7-54274F6931B6}"/>
    <cellStyle name="Normal 5 2 7 3" xfId="5193" xr:uid="{00000000-0005-0000-0000-000061190000}"/>
    <cellStyle name="Normal 5 2 7 3 2" xfId="14519" xr:uid="{43659BF8-4A6B-4F0C-BA75-6107887FD576}"/>
    <cellStyle name="Normal 5 2 7 4" xfId="9166" xr:uid="{903BB692-5043-4803-B109-F7C532EB2A09}"/>
    <cellStyle name="Normal 5 2 7 5" xfId="10302" xr:uid="{E1D17923-4E06-4FFD-A7F6-B3568AAD4DED}"/>
    <cellStyle name="Normal 5 2 8" xfId="1299" xr:uid="{00000000-0005-0000-0000-000062190000}"/>
    <cellStyle name="Normal 5 2 8 2" xfId="3529" xr:uid="{00000000-0005-0000-0000-000063190000}"/>
    <cellStyle name="Normal 5 2 8 2 2" xfId="7751" xr:uid="{00000000-0005-0000-0000-000064190000}"/>
    <cellStyle name="Normal 5 2 8 2 2 2" xfId="17077" xr:uid="{D1BC101B-CFF4-4978-9FE6-756693C34692}"/>
    <cellStyle name="Normal 5 2 8 2 3" xfId="12860" xr:uid="{52885E80-7FFE-48C0-B547-62A61F59D0D8}"/>
    <cellStyle name="Normal 5 2 8 3" xfId="5606" xr:uid="{00000000-0005-0000-0000-000065190000}"/>
    <cellStyle name="Normal 5 2 8 3 2" xfId="14932" xr:uid="{D6855145-0E25-4100-AC0E-981A4516E60B}"/>
    <cellStyle name="Normal 5 2 8 4" xfId="10715" xr:uid="{E3D75E9C-1959-4538-BCE3-127A3F1AEBE5}"/>
    <cellStyle name="Normal 5 2 9" xfId="1712" xr:uid="{00000000-0005-0000-0000-000066190000}"/>
    <cellStyle name="Normal 5 2 9 2" xfId="3942" xr:uid="{00000000-0005-0000-0000-000067190000}"/>
    <cellStyle name="Normal 5 2 9 2 2" xfId="8164" xr:uid="{00000000-0005-0000-0000-000068190000}"/>
    <cellStyle name="Normal 5 2 9 2 2 2" xfId="17490" xr:uid="{E3E369CD-18E8-46D6-868A-698A2E2B9F52}"/>
    <cellStyle name="Normal 5 2 9 2 3" xfId="13273" xr:uid="{13E54260-9E8E-4977-A6D3-2B1A77CBBE11}"/>
    <cellStyle name="Normal 5 2 9 3" xfId="6019" xr:uid="{00000000-0005-0000-0000-000069190000}"/>
    <cellStyle name="Normal 5 2 9 3 2" xfId="15345" xr:uid="{3D09D714-7037-420B-8C9D-F03EE8F14819}"/>
    <cellStyle name="Normal 5 2 9 4" xfId="11128" xr:uid="{0A93C058-B6C6-45FA-BC3D-B2DBE18601F9}"/>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8ED002A8-1F42-4A83-8B3E-642F1C6C01D7}"/>
    <cellStyle name="Normal 5 3 10 2 3" xfId="13718" xr:uid="{AD3A9ED8-1309-42D9-8ADF-315A4E5942E5}"/>
    <cellStyle name="Normal 5 3 10 3" xfId="6464" xr:uid="{00000000-0005-0000-0000-00006E190000}"/>
    <cellStyle name="Normal 5 3 10 3 2" xfId="15790" xr:uid="{48EC604C-F655-4223-835F-DC0D94395240}"/>
    <cellStyle name="Normal 5 3 10 4" xfId="11573" xr:uid="{6DA3BC8C-4FD7-435E-A14B-B0CCC3D164D5}"/>
    <cellStyle name="Normal 5 3 11" xfId="2594" xr:uid="{00000000-0005-0000-0000-00006F190000}"/>
    <cellStyle name="Normal 5 3 11 2" xfId="6877" xr:uid="{00000000-0005-0000-0000-000070190000}"/>
    <cellStyle name="Normal 5 3 11 2 2" xfId="16203" xr:uid="{5081BAC4-F752-4EE4-B709-74BC288EEFAB}"/>
    <cellStyle name="Normal 5 3 11 3" xfId="11986" xr:uid="{374052B8-8FA3-41B8-B9CC-FB6FADE33E5D}"/>
    <cellStyle name="Normal 5 3 12" xfId="4812" xr:uid="{00000000-0005-0000-0000-000071190000}"/>
    <cellStyle name="Normal 5 3 12 2" xfId="14138" xr:uid="{4A9BEA52-1EE9-4D3D-8440-F40C9932FDB6}"/>
    <cellStyle name="Normal 5 3 13" xfId="8750" xr:uid="{36957AEF-D081-4A23-AEE3-073A5901863C}"/>
    <cellStyle name="Normal 5 3 14" xfId="9921" xr:uid="{C0E2076C-773D-464C-A09B-3ED76F22340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F4740DF1-99EF-4F4B-B03D-DE6DA2B36412}"/>
    <cellStyle name="Normal 5 3 3 11" xfId="8782" xr:uid="{4219AD28-469A-4693-BD0B-B0536AC433E5}"/>
    <cellStyle name="Normal 5 3 3 12" xfId="9922" xr:uid="{EE7B49BD-6D11-4264-B3C6-D1E273D92BCC}"/>
    <cellStyle name="Normal 5 3 3 2" xfId="442" xr:uid="{00000000-0005-0000-0000-000076190000}"/>
    <cellStyle name="Normal 5 3 3 2 10" xfId="8832" xr:uid="{03323DDB-E4E1-4078-8BBE-EA3DD4471E1B}"/>
    <cellStyle name="Normal 5 3 3 2 11" xfId="9923" xr:uid="{3D02A8A3-4CA1-46BB-9DE5-234172B81E8D}"/>
    <cellStyle name="Normal 5 3 3 2 2" xfId="443" xr:uid="{00000000-0005-0000-0000-000077190000}"/>
    <cellStyle name="Normal 5 3 3 2 2 10" xfId="9924" xr:uid="{9163E01A-15D7-46F2-87EA-0A2F0CEF2D6A}"/>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E37E9C59-E5D9-4485-A54D-FAB6ABEAB472}"/>
    <cellStyle name="Normal 5 3 3 2 2 2 2 2 3" xfId="12483" xr:uid="{F4B1E10A-1D9C-4551-99B0-D62D4A8E3AEA}"/>
    <cellStyle name="Normal 5 3 3 2 2 2 2 3" xfId="5229" xr:uid="{00000000-0005-0000-0000-00007C190000}"/>
    <cellStyle name="Normal 5 3 3 2 2 2 2 3 2" xfId="14555" xr:uid="{A97BEF98-E00B-4AA2-BA3A-10E21F174B7E}"/>
    <cellStyle name="Normal 5 3 3 2 2 2 2 4" xfId="9567" xr:uid="{C2519486-6BC5-47D1-879F-EC6040BC9E9D}"/>
    <cellStyle name="Normal 5 3 3 2 2 2 2 5" xfId="10338" xr:uid="{F83F4A48-9345-4750-BEF7-19B988594B74}"/>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58484DC4-9D7E-4D6F-86D3-7BB7BF5AECD0}"/>
    <cellStyle name="Normal 5 3 3 2 2 2 3 2 3" xfId="12896" xr:uid="{55FCA68F-3B26-4209-A99B-9FF0ADD9CE5E}"/>
    <cellStyle name="Normal 5 3 3 2 2 2 3 3" xfId="5642" xr:uid="{00000000-0005-0000-0000-000080190000}"/>
    <cellStyle name="Normal 5 3 3 2 2 2 3 3 2" xfId="14968" xr:uid="{7A59F877-C338-4B83-AEC7-9674BBDF050A}"/>
    <cellStyle name="Normal 5 3 3 2 2 2 3 4" xfId="10751" xr:uid="{995F1157-EDB1-4115-90F1-D141AE855C06}"/>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31ED85A0-9E37-45C4-A838-5A7AEE07EE82}"/>
    <cellStyle name="Normal 5 3 3 2 2 2 4 2 3" xfId="13309" xr:uid="{0B3A97B0-03BC-452F-BFB2-CF8E5A5C0C26}"/>
    <cellStyle name="Normal 5 3 3 2 2 2 4 3" xfId="6055" xr:uid="{00000000-0005-0000-0000-000084190000}"/>
    <cellStyle name="Normal 5 3 3 2 2 2 4 3 2" xfId="15381" xr:uid="{1086B70A-CDF7-4A27-A15E-441CED54408B}"/>
    <cellStyle name="Normal 5 3 3 2 2 2 4 4" xfId="11164" xr:uid="{D579FE86-F472-48D5-8409-1CF5F206CD38}"/>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2177A839-9704-4ABD-8BFA-0A5179014D90}"/>
    <cellStyle name="Normal 5 3 3 2 2 2 5 2 3" xfId="13722" xr:uid="{24B86260-18E1-4281-9AE6-4E5D4434AEFE}"/>
    <cellStyle name="Normal 5 3 3 2 2 2 5 3" xfId="6468" xr:uid="{00000000-0005-0000-0000-000088190000}"/>
    <cellStyle name="Normal 5 3 3 2 2 2 5 3 2" xfId="15794" xr:uid="{70A145A1-D205-4430-897D-F78E8A79D211}"/>
    <cellStyle name="Normal 5 3 3 2 2 2 5 4" xfId="11577" xr:uid="{94C8AEC0-87E3-405E-BED8-BAFAA843D415}"/>
    <cellStyle name="Normal 5 3 3 2 2 2 6" xfId="2598" xr:uid="{00000000-0005-0000-0000-000089190000}"/>
    <cellStyle name="Normal 5 3 3 2 2 2 6 2" xfId="6881" xr:uid="{00000000-0005-0000-0000-00008A190000}"/>
    <cellStyle name="Normal 5 3 3 2 2 2 6 2 2" xfId="16207" xr:uid="{229F97BD-FAA4-4A67-B753-4D251F9B3DC6}"/>
    <cellStyle name="Normal 5 3 3 2 2 2 6 3" xfId="11990" xr:uid="{2AC1D551-9B1E-4CB0-B4D9-9AA13D8ABB30}"/>
    <cellStyle name="Normal 5 3 3 2 2 2 7" xfId="4816" xr:uid="{00000000-0005-0000-0000-00008B190000}"/>
    <cellStyle name="Normal 5 3 3 2 2 2 7 2" xfId="14142" xr:uid="{EA9530D3-F70D-45B4-8208-96C78A98C41C}"/>
    <cellStyle name="Normal 5 3 3 2 2 2 8" xfId="9142" xr:uid="{81CF9711-3A0B-4712-8E8F-033C974AA9E3}"/>
    <cellStyle name="Normal 5 3 3 2 2 2 9" xfId="9925" xr:uid="{37BFEE96-40B4-4BA1-9F40-CBA3C94FF597}"/>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16BBEF5C-E526-47E8-94A7-5276D8E76F68}"/>
    <cellStyle name="Normal 5 3 3 2 2 3 2 3" xfId="12482" xr:uid="{798CFCD9-767D-4F60-BCB1-ED105D81C6B5}"/>
    <cellStyle name="Normal 5 3 3 2 2 3 3" xfId="5228" xr:uid="{00000000-0005-0000-0000-00008F190000}"/>
    <cellStyle name="Normal 5 3 3 2 2 3 3 2" xfId="14554" xr:uid="{EDA31921-8FA7-4C7B-80CF-767749FE9B57}"/>
    <cellStyle name="Normal 5 3 3 2 2 3 4" xfId="9360" xr:uid="{07447062-3C9B-4A41-BE9D-50DE495FF588}"/>
    <cellStyle name="Normal 5 3 3 2 2 3 5" xfId="10337" xr:uid="{0366AE55-0529-4D07-9DB6-63E5042146CA}"/>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E7A0E86A-696F-4466-A686-6447FA36B703}"/>
    <cellStyle name="Normal 5 3 3 2 2 4 2 3" xfId="12895" xr:uid="{2424081A-A237-4E6B-87DA-90D0345C4E8F}"/>
    <cellStyle name="Normal 5 3 3 2 2 4 3" xfId="5641" xr:uid="{00000000-0005-0000-0000-000093190000}"/>
    <cellStyle name="Normal 5 3 3 2 2 4 3 2" xfId="14967" xr:uid="{9717926F-9AE6-4493-8752-BAB6F3783A12}"/>
    <cellStyle name="Normal 5 3 3 2 2 4 4" xfId="10750" xr:uid="{B6CEB2C7-546B-4E18-8477-8CADD5003273}"/>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F6EA0B38-D9D2-4D61-A3ED-EE5E47FD9E10}"/>
    <cellStyle name="Normal 5 3 3 2 2 5 2 3" xfId="13308" xr:uid="{0CE8F843-7F70-441D-AFD7-61B0013F08B8}"/>
    <cellStyle name="Normal 5 3 3 2 2 5 3" xfId="6054" xr:uid="{00000000-0005-0000-0000-000097190000}"/>
    <cellStyle name="Normal 5 3 3 2 2 5 3 2" xfId="15380" xr:uid="{93510304-29B1-4CC8-A43A-2122C0317A8F}"/>
    <cellStyle name="Normal 5 3 3 2 2 5 4" xfId="11163" xr:uid="{5C514F63-9DB7-4CA7-840F-84660BEB438A}"/>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0578B24B-4CED-4824-AC46-0D874F0F8918}"/>
    <cellStyle name="Normal 5 3 3 2 2 6 2 3" xfId="13721" xr:uid="{09D7F804-A95E-40C0-9370-D7A9CE99BBD9}"/>
    <cellStyle name="Normal 5 3 3 2 2 6 3" xfId="6467" xr:uid="{00000000-0005-0000-0000-00009B190000}"/>
    <cellStyle name="Normal 5 3 3 2 2 6 3 2" xfId="15793" xr:uid="{0C491C8B-06FE-4FBE-AF42-CFF52E9F8552}"/>
    <cellStyle name="Normal 5 3 3 2 2 6 4" xfId="11576" xr:uid="{45410C62-F288-4BBD-96AB-8D6C35D71EB0}"/>
    <cellStyle name="Normal 5 3 3 2 2 7" xfId="2597" xr:uid="{00000000-0005-0000-0000-00009C190000}"/>
    <cellStyle name="Normal 5 3 3 2 2 7 2" xfId="6880" xr:uid="{00000000-0005-0000-0000-00009D190000}"/>
    <cellStyle name="Normal 5 3 3 2 2 7 2 2" xfId="16206" xr:uid="{98C45858-F4C7-44B1-A81D-364D90882F2B}"/>
    <cellStyle name="Normal 5 3 3 2 2 7 3" xfId="11989" xr:uid="{FE000EF0-8C67-4810-BA2F-90A30B1C8355}"/>
    <cellStyle name="Normal 5 3 3 2 2 8" xfId="4815" xr:uid="{00000000-0005-0000-0000-00009E190000}"/>
    <cellStyle name="Normal 5 3 3 2 2 8 2" xfId="14141" xr:uid="{AE958019-B1FB-4A30-8A2B-58110387A271}"/>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D579FC64-EBB0-4AC6-B8DF-0B2705016B7A}"/>
    <cellStyle name="Normal 5 3 3 2 3 2 2 3" xfId="12484" xr:uid="{49850B5E-4563-411C-B5F3-50672CD3AF35}"/>
    <cellStyle name="Normal 5 3 3 2 3 2 3" xfId="5230" xr:uid="{00000000-0005-0000-0000-0000A3190000}"/>
    <cellStyle name="Normal 5 3 3 2 3 2 3 2" xfId="14556" xr:uid="{F33A83C0-80FB-45C1-940C-AF099EA83227}"/>
    <cellStyle name="Normal 5 3 3 2 3 2 4" xfId="9464" xr:uid="{6A182EEF-0879-47AD-839A-17D560B4AF3D}"/>
    <cellStyle name="Normal 5 3 3 2 3 2 5" xfId="10339" xr:uid="{2C027F39-6BED-4B27-B3C4-EB889E8C54C2}"/>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78BF1A88-95BE-47B3-9614-F593B0D0DFC2}"/>
    <cellStyle name="Normal 5 3 3 2 3 3 2 3" xfId="12897" xr:uid="{EBBA07A1-1A77-45E5-8E06-993BAAED519A}"/>
    <cellStyle name="Normal 5 3 3 2 3 3 3" xfId="5643" xr:uid="{00000000-0005-0000-0000-0000A7190000}"/>
    <cellStyle name="Normal 5 3 3 2 3 3 3 2" xfId="14969" xr:uid="{EA58C7C9-764A-4F97-AE4D-3B2F5B47F537}"/>
    <cellStyle name="Normal 5 3 3 2 3 3 4" xfId="10752" xr:uid="{FCFA2BB8-3061-4D8E-B410-24E15F60ABBE}"/>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669C53EF-26B1-4823-B275-251EA784928E}"/>
    <cellStyle name="Normal 5 3 3 2 3 4 2 3" xfId="13310" xr:uid="{910DC201-50EB-4E93-8FC6-AB1922C3BA6E}"/>
    <cellStyle name="Normal 5 3 3 2 3 4 3" xfId="6056" xr:uid="{00000000-0005-0000-0000-0000AB190000}"/>
    <cellStyle name="Normal 5 3 3 2 3 4 3 2" xfId="15382" xr:uid="{D8214968-77EC-4A84-9476-0B7FB0EB9C2E}"/>
    <cellStyle name="Normal 5 3 3 2 3 4 4" xfId="11165" xr:uid="{AEE59FC7-8B93-4C86-B3EA-2A8095411D7E}"/>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BC261196-32FD-4B07-B489-F36B83099B35}"/>
    <cellStyle name="Normal 5 3 3 2 3 5 2 3" xfId="13723" xr:uid="{B0F082E7-03A8-4ED3-AED7-575F02D6D340}"/>
    <cellStyle name="Normal 5 3 3 2 3 5 3" xfId="6469" xr:uid="{00000000-0005-0000-0000-0000AF190000}"/>
    <cellStyle name="Normal 5 3 3 2 3 5 3 2" xfId="15795" xr:uid="{8D17F8C4-2391-4A10-B366-075C8E3B38A3}"/>
    <cellStyle name="Normal 5 3 3 2 3 5 4" xfId="11578" xr:uid="{FCF01D5A-DD24-43B0-8EA3-A30BB757D346}"/>
    <cellStyle name="Normal 5 3 3 2 3 6" xfId="2599" xr:uid="{00000000-0005-0000-0000-0000B0190000}"/>
    <cellStyle name="Normal 5 3 3 2 3 6 2" xfId="6882" xr:uid="{00000000-0005-0000-0000-0000B1190000}"/>
    <cellStyle name="Normal 5 3 3 2 3 6 2 2" xfId="16208" xr:uid="{0EC76F93-1889-47D3-8B57-1FC821429253}"/>
    <cellStyle name="Normal 5 3 3 2 3 6 3" xfId="11991" xr:uid="{08DADD7A-B494-4113-8573-1C68ECA48C5A}"/>
    <cellStyle name="Normal 5 3 3 2 3 7" xfId="4817" xr:uid="{00000000-0005-0000-0000-0000B2190000}"/>
    <cellStyle name="Normal 5 3 3 2 3 7 2" xfId="14143" xr:uid="{D934AB44-E72F-4A1D-8005-FD9E9A19A5EC}"/>
    <cellStyle name="Normal 5 3 3 2 3 8" xfId="9039" xr:uid="{84D80CE6-A0CA-4841-8673-26EA7EC6806D}"/>
    <cellStyle name="Normal 5 3 3 2 3 9" xfId="9926" xr:uid="{63EA8C4F-ECD9-4350-9D4D-D787D49FE8B3}"/>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D1A37040-E275-499C-AA92-CFE9BBF1BBC4}"/>
    <cellStyle name="Normal 5 3 3 2 4 2 3" xfId="12481" xr:uid="{2A3A46D1-6B0D-4D10-A2F3-C6E458A73B1C}"/>
    <cellStyle name="Normal 5 3 3 2 4 3" xfId="5227" xr:uid="{00000000-0005-0000-0000-0000B6190000}"/>
    <cellStyle name="Normal 5 3 3 2 4 3 2" xfId="14553" xr:uid="{9B3623E1-A0F3-42A6-829C-27A7EE134835}"/>
    <cellStyle name="Normal 5 3 3 2 4 4" xfId="9257" xr:uid="{E6656214-6E5B-491F-B1E3-227CB6568726}"/>
    <cellStyle name="Normal 5 3 3 2 4 5" xfId="10336" xr:uid="{3F81F013-0358-4DA4-9507-2CABE0E78D7A}"/>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8DCF83E3-DEB6-422B-B8AB-EC14DA6DE935}"/>
    <cellStyle name="Normal 5 3 3 2 5 2 3" xfId="12894" xr:uid="{F10094A0-FD47-430E-BF0E-AA3E2A8285A7}"/>
    <cellStyle name="Normal 5 3 3 2 5 3" xfId="5640" xr:uid="{00000000-0005-0000-0000-0000BA190000}"/>
    <cellStyle name="Normal 5 3 3 2 5 3 2" xfId="14966" xr:uid="{70C5E491-EF53-4D61-9D23-380E2BF1C471}"/>
    <cellStyle name="Normal 5 3 3 2 5 4" xfId="10749" xr:uid="{70243F4C-CD94-404D-A81B-72EBE0AF7C2C}"/>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76AC3698-F294-4BE0-9B1B-EACFAB204E83}"/>
    <cellStyle name="Normal 5 3 3 2 6 2 3" xfId="13307" xr:uid="{7E4DEBF4-55C8-40AD-9D66-ED917B05A369}"/>
    <cellStyle name="Normal 5 3 3 2 6 3" xfId="6053" xr:uid="{00000000-0005-0000-0000-0000BE190000}"/>
    <cellStyle name="Normal 5 3 3 2 6 3 2" xfId="15379" xr:uid="{61F6C13B-46E5-4724-AB73-41ED2CDCC0B5}"/>
    <cellStyle name="Normal 5 3 3 2 6 4" xfId="11162" xr:uid="{F37758AC-E9CF-49F4-9C45-2F498C8B9FFC}"/>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14D6B7A4-9962-470C-B2E1-6976B00F8DED}"/>
    <cellStyle name="Normal 5 3 3 2 7 2 3" xfId="13720" xr:uid="{0830908A-2D72-4A52-9D34-5ECADABA20E4}"/>
    <cellStyle name="Normal 5 3 3 2 7 3" xfId="6466" xr:uid="{00000000-0005-0000-0000-0000C2190000}"/>
    <cellStyle name="Normal 5 3 3 2 7 3 2" xfId="15792" xr:uid="{AA0544DB-3E31-4F77-A306-702D33AABF84}"/>
    <cellStyle name="Normal 5 3 3 2 7 4" xfId="11575" xr:uid="{E0D24C55-50CF-4E70-AE21-75C305F433CA}"/>
    <cellStyle name="Normal 5 3 3 2 8" xfId="2596" xr:uid="{00000000-0005-0000-0000-0000C3190000}"/>
    <cellStyle name="Normal 5 3 3 2 8 2" xfId="6879" xr:uid="{00000000-0005-0000-0000-0000C4190000}"/>
    <cellStyle name="Normal 5 3 3 2 8 2 2" xfId="16205" xr:uid="{B8E33E35-7CE3-47D7-BEBE-A7FF582F1F82}"/>
    <cellStyle name="Normal 5 3 3 2 8 3" xfId="11988" xr:uid="{14EF16A2-E2A8-4146-A9C3-3FA372E31752}"/>
    <cellStyle name="Normal 5 3 3 2 9" xfId="4814" xr:uid="{00000000-0005-0000-0000-0000C5190000}"/>
    <cellStyle name="Normal 5 3 3 2 9 2" xfId="14140" xr:uid="{4BBBDFD4-5C3F-4224-8740-014DCE5D05B4}"/>
    <cellStyle name="Normal 5 3 3 3" xfId="446" xr:uid="{00000000-0005-0000-0000-0000C6190000}"/>
    <cellStyle name="Normal 5 3 3 3 10" xfId="9927" xr:uid="{020220DE-F487-46F3-85BE-26252BB8175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7C39EAE5-728C-4411-87E9-BC9783C96EB7}"/>
    <cellStyle name="Normal 5 3 3 3 2 2 2 3" xfId="12486" xr:uid="{42896479-2645-4155-B3CD-3F527FDEE5F1}"/>
    <cellStyle name="Normal 5 3 3 3 2 2 3" xfId="5232" xr:uid="{00000000-0005-0000-0000-0000CB190000}"/>
    <cellStyle name="Normal 5 3 3 3 2 2 3 2" xfId="14558" xr:uid="{C039595B-D1EF-4EE8-9FA2-93F3BBB45450}"/>
    <cellStyle name="Normal 5 3 3 3 2 2 4" xfId="9517" xr:uid="{EA62A3B1-8ED5-4A6F-ACE0-B924BC16AA9E}"/>
    <cellStyle name="Normal 5 3 3 3 2 2 5" xfId="10341" xr:uid="{8F5F5E6E-6E90-47C4-9524-589F8D7F9CE2}"/>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32DB65D1-BF2D-4B8A-A4CE-077AA669507B}"/>
    <cellStyle name="Normal 5 3 3 3 2 3 2 3" xfId="12899" xr:uid="{E78B4BE0-37F0-4E2A-90D7-2E0A18DAB2FC}"/>
    <cellStyle name="Normal 5 3 3 3 2 3 3" xfId="5645" xr:uid="{00000000-0005-0000-0000-0000CF190000}"/>
    <cellStyle name="Normal 5 3 3 3 2 3 3 2" xfId="14971" xr:uid="{FA6BC13F-DBE1-41E1-A032-525ED9FD3358}"/>
    <cellStyle name="Normal 5 3 3 3 2 3 4" xfId="10754" xr:uid="{526A399C-81CB-4ED0-9841-C897632AF2B5}"/>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19C8E8AB-7A51-4545-9FB9-545F372FE97B}"/>
    <cellStyle name="Normal 5 3 3 3 2 4 2 3" xfId="13312" xr:uid="{D70AFE1A-EA50-47FA-9C24-1D725C881321}"/>
    <cellStyle name="Normal 5 3 3 3 2 4 3" xfId="6058" xr:uid="{00000000-0005-0000-0000-0000D3190000}"/>
    <cellStyle name="Normal 5 3 3 3 2 4 3 2" xfId="15384" xr:uid="{6529D2C4-CD5B-4D36-85A5-972F0D3264D1}"/>
    <cellStyle name="Normal 5 3 3 3 2 4 4" xfId="11167" xr:uid="{38C35445-ED02-4B06-9C63-618BAA212586}"/>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555F95D4-634B-416A-A596-AD7D28112C10}"/>
    <cellStyle name="Normal 5 3 3 3 2 5 2 3" xfId="13725" xr:uid="{5D7FF468-0B05-4385-9DE7-67310B17B5C4}"/>
    <cellStyle name="Normal 5 3 3 3 2 5 3" xfId="6471" xr:uid="{00000000-0005-0000-0000-0000D7190000}"/>
    <cellStyle name="Normal 5 3 3 3 2 5 3 2" xfId="15797" xr:uid="{6FB86BFC-1823-4F8C-8448-4F2C4C11A454}"/>
    <cellStyle name="Normal 5 3 3 3 2 5 4" xfId="11580" xr:uid="{3700D67D-5D88-41FE-9351-3FC8C454FC40}"/>
    <cellStyle name="Normal 5 3 3 3 2 6" xfId="2601" xr:uid="{00000000-0005-0000-0000-0000D8190000}"/>
    <cellStyle name="Normal 5 3 3 3 2 6 2" xfId="6884" xr:uid="{00000000-0005-0000-0000-0000D9190000}"/>
    <cellStyle name="Normal 5 3 3 3 2 6 2 2" xfId="16210" xr:uid="{F638671B-87B7-460B-BAAB-8F7DF6BAF5D1}"/>
    <cellStyle name="Normal 5 3 3 3 2 6 3" xfId="11993" xr:uid="{E6C7E66C-1930-4D02-90F1-DFC8EE1F32DD}"/>
    <cellStyle name="Normal 5 3 3 3 2 7" xfId="4819" xr:uid="{00000000-0005-0000-0000-0000DA190000}"/>
    <cellStyle name="Normal 5 3 3 3 2 7 2" xfId="14145" xr:uid="{06A91B53-FEED-47A6-824B-6EA6884B8DE8}"/>
    <cellStyle name="Normal 5 3 3 3 2 8" xfId="9092" xr:uid="{A018BC5E-3880-4BA4-8CFB-322C89A13B5F}"/>
    <cellStyle name="Normal 5 3 3 3 2 9" xfId="9928" xr:uid="{59466FFD-7BDB-4798-9F36-59774D4A1515}"/>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31579A7A-0C23-40D5-BBAC-C957744D9686}"/>
    <cellStyle name="Normal 5 3 3 3 3 2 3" xfId="12485" xr:uid="{01AE7438-345C-493A-97BE-66A851A4D53E}"/>
    <cellStyle name="Normal 5 3 3 3 3 3" xfId="5231" xr:uid="{00000000-0005-0000-0000-0000DE190000}"/>
    <cellStyle name="Normal 5 3 3 3 3 3 2" xfId="14557" xr:uid="{C016F820-7622-48B1-89DE-41DA7BCDC6CA}"/>
    <cellStyle name="Normal 5 3 3 3 3 4" xfId="9310" xr:uid="{D169C31A-17C5-4934-97DF-D90479FD2654}"/>
    <cellStyle name="Normal 5 3 3 3 3 5" xfId="10340" xr:uid="{59B3A269-ADEC-4314-8895-D177DE0FA943}"/>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0A4E0C3D-F45E-46C1-AB01-ACD2AD218ABC}"/>
    <cellStyle name="Normal 5 3 3 3 4 2 3" xfId="12898" xr:uid="{8F9A4E26-B0D2-49A5-BA5F-ADE434643B43}"/>
    <cellStyle name="Normal 5 3 3 3 4 3" xfId="5644" xr:uid="{00000000-0005-0000-0000-0000E2190000}"/>
    <cellStyle name="Normal 5 3 3 3 4 3 2" xfId="14970" xr:uid="{383C9C9B-915F-4336-83BF-C8F18CDFDB04}"/>
    <cellStyle name="Normal 5 3 3 3 4 4" xfId="10753" xr:uid="{4104F8FE-FB06-4282-9711-43E2E17B5926}"/>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F908A25B-07D8-46CE-A6C2-63A7B5BF036D}"/>
    <cellStyle name="Normal 5 3 3 3 5 2 3" xfId="13311" xr:uid="{D6F4B057-A67A-4B3A-9F95-2A734550183E}"/>
    <cellStyle name="Normal 5 3 3 3 5 3" xfId="6057" xr:uid="{00000000-0005-0000-0000-0000E6190000}"/>
    <cellStyle name="Normal 5 3 3 3 5 3 2" xfId="15383" xr:uid="{586C6F88-D178-4E2D-A487-AEB703665AA1}"/>
    <cellStyle name="Normal 5 3 3 3 5 4" xfId="11166" xr:uid="{44403931-C80D-40CE-BD5F-7A61B66AF840}"/>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C97BC405-18D4-4ED2-9E88-D2834C911BD3}"/>
    <cellStyle name="Normal 5 3 3 3 6 2 3" xfId="13724" xr:uid="{F719AFE1-45EF-4515-ACA7-538829A0FC01}"/>
    <cellStyle name="Normal 5 3 3 3 6 3" xfId="6470" xr:uid="{00000000-0005-0000-0000-0000EA190000}"/>
    <cellStyle name="Normal 5 3 3 3 6 3 2" xfId="15796" xr:uid="{3C8AD9E2-0CEA-4916-B5DE-100BA6704C34}"/>
    <cellStyle name="Normal 5 3 3 3 6 4" xfId="11579" xr:uid="{A843B380-1D2F-4C1D-A2AC-B2956A380D3D}"/>
    <cellStyle name="Normal 5 3 3 3 7" xfId="2600" xr:uid="{00000000-0005-0000-0000-0000EB190000}"/>
    <cellStyle name="Normal 5 3 3 3 7 2" xfId="6883" xr:uid="{00000000-0005-0000-0000-0000EC190000}"/>
    <cellStyle name="Normal 5 3 3 3 7 2 2" xfId="16209" xr:uid="{A9279EE3-F427-44F9-BE5D-C7FFC8C7CCE4}"/>
    <cellStyle name="Normal 5 3 3 3 7 3" xfId="11992" xr:uid="{CB79F246-661F-4182-9852-E4B605C40E54}"/>
    <cellStyle name="Normal 5 3 3 3 8" xfId="4818" xr:uid="{00000000-0005-0000-0000-0000ED190000}"/>
    <cellStyle name="Normal 5 3 3 3 8 2" xfId="14144" xr:uid="{993D4587-5078-4D12-A3E2-D2411A61715B}"/>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BAC8D893-2EF1-4EF5-9B59-8F69420BDC00}"/>
    <cellStyle name="Normal 5 3 3 4 2 2 3" xfId="12487" xr:uid="{F8E615F6-2A4D-4037-BBE6-4933516AAD31}"/>
    <cellStyle name="Normal 5 3 3 4 2 3" xfId="5233" xr:uid="{00000000-0005-0000-0000-0000F2190000}"/>
    <cellStyle name="Normal 5 3 3 4 2 3 2" xfId="14559" xr:uid="{4F975F82-1468-4980-AB1D-2EECEEBABD2D}"/>
    <cellStyle name="Normal 5 3 3 4 2 4" xfId="9414" xr:uid="{BD781A4C-FDA7-4D11-87F3-3D38EC19B37A}"/>
    <cellStyle name="Normal 5 3 3 4 2 5" xfId="10342" xr:uid="{0FF7DDDE-6FF5-4BC5-A633-03FF1439B228}"/>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24F5A576-F866-4656-8D79-6120199F85A8}"/>
    <cellStyle name="Normal 5 3 3 4 3 2 3" xfId="12900" xr:uid="{BECC8E90-59CA-43DD-900E-B83087E37E3D}"/>
    <cellStyle name="Normal 5 3 3 4 3 3" xfId="5646" xr:uid="{00000000-0005-0000-0000-0000F6190000}"/>
    <cellStyle name="Normal 5 3 3 4 3 3 2" xfId="14972" xr:uid="{948FF0E7-6E72-41F5-9B7F-ECF2E30946A6}"/>
    <cellStyle name="Normal 5 3 3 4 3 4" xfId="10755" xr:uid="{6FA2220F-B9FD-43F8-8BDB-D0ABE9676219}"/>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3CCD5D53-CCFF-46CB-96B1-FC2E340C9BD7}"/>
    <cellStyle name="Normal 5 3 3 4 4 2 3" xfId="13313" xr:uid="{4E08A9F1-706B-41CD-BCA9-2FE3C3319B1D}"/>
    <cellStyle name="Normal 5 3 3 4 4 3" xfId="6059" xr:uid="{00000000-0005-0000-0000-0000FA190000}"/>
    <cellStyle name="Normal 5 3 3 4 4 3 2" xfId="15385" xr:uid="{F2323268-EBCD-436C-8CE3-41848304DE4E}"/>
    <cellStyle name="Normal 5 3 3 4 4 4" xfId="11168" xr:uid="{12C5FA1D-2912-4F1C-8369-AF7EA781DA7D}"/>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2922C65F-23EA-4CA1-BE55-6771BB9EB454}"/>
    <cellStyle name="Normal 5 3 3 4 5 2 3" xfId="13726" xr:uid="{9F42FB60-4033-4BAB-B60A-666EF849925C}"/>
    <cellStyle name="Normal 5 3 3 4 5 3" xfId="6472" xr:uid="{00000000-0005-0000-0000-0000FE190000}"/>
    <cellStyle name="Normal 5 3 3 4 5 3 2" xfId="15798" xr:uid="{A5F9A3B2-6B48-43D0-BFE6-868631B096E2}"/>
    <cellStyle name="Normal 5 3 3 4 5 4" xfId="11581" xr:uid="{05C45B1B-3980-4229-A484-CE677CA6476E}"/>
    <cellStyle name="Normal 5 3 3 4 6" xfId="2602" xr:uid="{00000000-0005-0000-0000-0000FF190000}"/>
    <cellStyle name="Normal 5 3 3 4 6 2" xfId="6885" xr:uid="{00000000-0005-0000-0000-0000001A0000}"/>
    <cellStyle name="Normal 5 3 3 4 6 2 2" xfId="16211" xr:uid="{962122C8-59EB-40A1-B3DC-A1E028B6AEAC}"/>
    <cellStyle name="Normal 5 3 3 4 6 3" xfId="11994" xr:uid="{6487AE5C-2DB3-4610-A03F-63891F58881F}"/>
    <cellStyle name="Normal 5 3 3 4 7" xfId="4820" xr:uid="{00000000-0005-0000-0000-0000011A0000}"/>
    <cellStyle name="Normal 5 3 3 4 7 2" xfId="14146" xr:uid="{723B73B3-1E1C-4559-87B9-C25203E458A0}"/>
    <cellStyle name="Normal 5 3 3 4 8" xfId="8989" xr:uid="{20FA1483-98E6-46C4-B00B-4EAF7957981D}"/>
    <cellStyle name="Normal 5 3 3 4 9" xfId="9929" xr:uid="{E4926802-7B58-4275-BB05-9690D4544DE0}"/>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6289151F-0A25-41F0-904D-FCB8D9C4279E}"/>
    <cellStyle name="Normal 5 3 3 5 2 3" xfId="12480" xr:uid="{48EE7196-E2ED-42B4-9976-2ABC1C5E7DB3}"/>
    <cellStyle name="Normal 5 3 3 5 3" xfId="5226" xr:uid="{00000000-0005-0000-0000-0000051A0000}"/>
    <cellStyle name="Normal 5 3 3 5 3 2" xfId="14552" xr:uid="{9ED8E61F-C529-4F36-8483-A1CA6851424C}"/>
    <cellStyle name="Normal 5 3 3 5 4" xfId="9206" xr:uid="{CA749CBB-EAB5-483B-862D-D7B95A23D45C}"/>
    <cellStyle name="Normal 5 3 3 5 5" xfId="10335" xr:uid="{85FA571B-318F-480B-9BCC-81640E105DA0}"/>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B6659B99-06A9-4906-A2B6-23D5386FE972}"/>
    <cellStyle name="Normal 5 3 3 6 2 3" xfId="12893" xr:uid="{8F2CB7FA-58AF-4630-AEA0-5F4E25CA5EE8}"/>
    <cellStyle name="Normal 5 3 3 6 3" xfId="5639" xr:uid="{00000000-0005-0000-0000-0000091A0000}"/>
    <cellStyle name="Normal 5 3 3 6 3 2" xfId="14965" xr:uid="{18C43737-85F7-4C70-94EE-4E82B059BFF8}"/>
    <cellStyle name="Normal 5 3 3 6 4" xfId="10748" xr:uid="{AAAB4597-83CB-44EA-9A74-DB08F46E1D0E}"/>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E8EBA3B9-44C8-445A-9D00-5E7B68105D26}"/>
    <cellStyle name="Normal 5 3 3 7 2 3" xfId="13306" xr:uid="{B758A0F6-7DE0-4223-AB2A-C3AD111D45D2}"/>
    <cellStyle name="Normal 5 3 3 7 3" xfId="6052" xr:uid="{00000000-0005-0000-0000-00000D1A0000}"/>
    <cellStyle name="Normal 5 3 3 7 3 2" xfId="15378" xr:uid="{BD1D472B-914F-42C8-BE20-D5DBDA5DEC03}"/>
    <cellStyle name="Normal 5 3 3 7 4" xfId="11161" xr:uid="{8D044538-EFF9-42B3-A3B7-0EC728142F53}"/>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9C281557-5E2C-43B0-B4AF-A0A4BFB03AA0}"/>
    <cellStyle name="Normal 5 3 3 8 2 3" xfId="13719" xr:uid="{0C8A2E34-0C40-4212-A3EA-C61D80C9D1A8}"/>
    <cellStyle name="Normal 5 3 3 8 3" xfId="6465" xr:uid="{00000000-0005-0000-0000-0000111A0000}"/>
    <cellStyle name="Normal 5 3 3 8 3 2" xfId="15791" xr:uid="{789B96AD-B09B-41FB-9CA1-95527A4E8687}"/>
    <cellStyle name="Normal 5 3 3 8 4" xfId="11574" xr:uid="{EF38041F-CDE5-4F3F-A831-9909255A0606}"/>
    <cellStyle name="Normal 5 3 3 9" xfId="2595" xr:uid="{00000000-0005-0000-0000-0000121A0000}"/>
    <cellStyle name="Normal 5 3 3 9 2" xfId="6878" xr:uid="{00000000-0005-0000-0000-0000131A0000}"/>
    <cellStyle name="Normal 5 3 3 9 2 2" xfId="16204" xr:uid="{151C22B1-585B-4034-B2CE-49479D013026}"/>
    <cellStyle name="Normal 5 3 3 9 3" xfId="11987" xr:uid="{203B1D4A-2587-4B21-8AF0-F8E99AA68B1A}"/>
    <cellStyle name="Normal 5 3 4" xfId="449" xr:uid="{00000000-0005-0000-0000-0000141A0000}"/>
    <cellStyle name="Normal 5 3 4 10" xfId="8831" xr:uid="{39AD872D-FBC2-4C4A-B537-79F8014E4247}"/>
    <cellStyle name="Normal 5 3 4 11" xfId="9930" xr:uid="{51FA6096-A65B-448D-845C-4E9418E37462}"/>
    <cellStyle name="Normal 5 3 4 2" xfId="450" xr:uid="{00000000-0005-0000-0000-0000151A0000}"/>
    <cellStyle name="Normal 5 3 4 2 10" xfId="9931" xr:uid="{5BE9A39A-0B86-4632-80E8-4EDDEE1C805F}"/>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AEFCD082-2727-459A-8A6E-FB15E9044795}"/>
    <cellStyle name="Normal 5 3 4 2 2 2 2 3" xfId="12490" xr:uid="{C01A0A4E-0F38-4CA5-825E-C8A1116128B5}"/>
    <cellStyle name="Normal 5 3 4 2 2 2 3" xfId="5236" xr:uid="{00000000-0005-0000-0000-00001A1A0000}"/>
    <cellStyle name="Normal 5 3 4 2 2 2 3 2" xfId="14562" xr:uid="{EDBC618D-A0B3-4690-B55F-61C96AF48652}"/>
    <cellStyle name="Normal 5 3 4 2 2 2 4" xfId="9566" xr:uid="{D483C248-9680-462F-989C-42C712CD6EB7}"/>
    <cellStyle name="Normal 5 3 4 2 2 2 5" xfId="10345" xr:uid="{90745E61-4485-4CF3-BF68-4B8FE7E6748B}"/>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B38D63E2-EA97-4CC1-A410-ACC0885927C9}"/>
    <cellStyle name="Normal 5 3 4 2 2 3 2 3" xfId="12903" xr:uid="{271F8670-1A33-49F2-84B5-7F25D014FCC9}"/>
    <cellStyle name="Normal 5 3 4 2 2 3 3" xfId="5649" xr:uid="{00000000-0005-0000-0000-00001E1A0000}"/>
    <cellStyle name="Normal 5 3 4 2 2 3 3 2" xfId="14975" xr:uid="{F5A6B78A-B653-4A1E-8586-071AD2644794}"/>
    <cellStyle name="Normal 5 3 4 2 2 3 4" xfId="10758" xr:uid="{2BD85903-6405-4FB4-A786-70632F3C86BE}"/>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15733C4A-2221-4EB0-B57D-A8C5088E794A}"/>
    <cellStyle name="Normal 5 3 4 2 2 4 2 3" xfId="13316" xr:uid="{F2E88DAE-CE6C-44C9-838A-1993A5CB456A}"/>
    <cellStyle name="Normal 5 3 4 2 2 4 3" xfId="6062" xr:uid="{00000000-0005-0000-0000-0000221A0000}"/>
    <cellStyle name="Normal 5 3 4 2 2 4 3 2" xfId="15388" xr:uid="{555CA623-D8EB-4034-AA9C-859D7BBC7C43}"/>
    <cellStyle name="Normal 5 3 4 2 2 4 4" xfId="11171" xr:uid="{41D152AF-A383-4123-BC66-1C138DBB96A7}"/>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6AC1997D-EF08-4877-A2DA-6FA16D3B9A70}"/>
    <cellStyle name="Normal 5 3 4 2 2 5 2 3" xfId="13729" xr:uid="{00726B21-5AD8-4225-A961-E2094C42A015}"/>
    <cellStyle name="Normal 5 3 4 2 2 5 3" xfId="6475" xr:uid="{00000000-0005-0000-0000-0000261A0000}"/>
    <cellStyle name="Normal 5 3 4 2 2 5 3 2" xfId="15801" xr:uid="{BEC1645A-96F8-4AD0-A5CF-025C2F4F6463}"/>
    <cellStyle name="Normal 5 3 4 2 2 5 4" xfId="11584" xr:uid="{060F83D2-6EDC-4B6F-96A8-FEB621D6909C}"/>
    <cellStyle name="Normal 5 3 4 2 2 6" xfId="2605" xr:uid="{00000000-0005-0000-0000-0000271A0000}"/>
    <cellStyle name="Normal 5 3 4 2 2 6 2" xfId="6888" xr:uid="{00000000-0005-0000-0000-0000281A0000}"/>
    <cellStyle name="Normal 5 3 4 2 2 6 2 2" xfId="16214" xr:uid="{D8DB53CA-4D1D-48D4-AD71-349A2B1E584A}"/>
    <cellStyle name="Normal 5 3 4 2 2 6 3" xfId="11997" xr:uid="{FCD9FFB2-F6F9-4FEC-A8FF-C3F8C92E455B}"/>
    <cellStyle name="Normal 5 3 4 2 2 7" xfId="4823" xr:uid="{00000000-0005-0000-0000-0000291A0000}"/>
    <cellStyle name="Normal 5 3 4 2 2 7 2" xfId="14149" xr:uid="{E0779F16-A525-4B9F-A6AF-F3EE79B03085}"/>
    <cellStyle name="Normal 5 3 4 2 2 8" xfId="9141" xr:uid="{6B63A6D0-0E60-498B-8E53-451D5144533A}"/>
    <cellStyle name="Normal 5 3 4 2 2 9" xfId="9932" xr:uid="{D3F7D7D9-135B-4436-837D-B9A0901A0908}"/>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5D095356-6B06-4077-861E-6870B76F9E78}"/>
    <cellStyle name="Normal 5 3 4 2 3 2 3" xfId="12489" xr:uid="{14ADFDDE-8BF8-4ED4-BA6C-323D2D5FE4F0}"/>
    <cellStyle name="Normal 5 3 4 2 3 3" xfId="5235" xr:uid="{00000000-0005-0000-0000-00002D1A0000}"/>
    <cellStyle name="Normal 5 3 4 2 3 3 2" xfId="14561" xr:uid="{66CA31B7-4715-4C7F-B04B-0C3E1061AD84}"/>
    <cellStyle name="Normal 5 3 4 2 3 4" xfId="9359" xr:uid="{FAC41203-2BC4-411F-9296-10781BA4F1AB}"/>
    <cellStyle name="Normal 5 3 4 2 3 5" xfId="10344" xr:uid="{6A10975F-6A17-4328-838A-54A54E9E46AF}"/>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1DBE94C4-A275-4357-A9B4-A50F4441D5A8}"/>
    <cellStyle name="Normal 5 3 4 2 4 2 3" xfId="12902" xr:uid="{F4B9B35A-770B-463B-A90A-872235B683CA}"/>
    <cellStyle name="Normal 5 3 4 2 4 3" xfId="5648" xr:uid="{00000000-0005-0000-0000-0000311A0000}"/>
    <cellStyle name="Normal 5 3 4 2 4 3 2" xfId="14974" xr:uid="{736F4C40-2DE6-41C3-879A-6113406E99D5}"/>
    <cellStyle name="Normal 5 3 4 2 4 4" xfId="10757" xr:uid="{697544A6-122A-49AE-8081-8854DBFD66AE}"/>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877480C0-A67A-4AF4-9C62-E19841096BE6}"/>
    <cellStyle name="Normal 5 3 4 2 5 2 3" xfId="13315" xr:uid="{B446AB62-8623-4D42-BCD6-3DCE824024C3}"/>
    <cellStyle name="Normal 5 3 4 2 5 3" xfId="6061" xr:uid="{00000000-0005-0000-0000-0000351A0000}"/>
    <cellStyle name="Normal 5 3 4 2 5 3 2" xfId="15387" xr:uid="{6C4640D5-D36F-4198-9FFC-AC7933AD1D56}"/>
    <cellStyle name="Normal 5 3 4 2 5 4" xfId="11170" xr:uid="{084B78A0-ADA2-46EA-B587-BDF608DA14F0}"/>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97883157-F832-4C15-9F37-B3F811EF5CE1}"/>
    <cellStyle name="Normal 5 3 4 2 6 2 3" xfId="13728" xr:uid="{3D4976E4-5845-4C13-9B7D-4B3B72D0A110}"/>
    <cellStyle name="Normal 5 3 4 2 6 3" xfId="6474" xr:uid="{00000000-0005-0000-0000-0000391A0000}"/>
    <cellStyle name="Normal 5 3 4 2 6 3 2" xfId="15800" xr:uid="{3F8DA0B6-F6FF-4B23-BE36-9C208CD11854}"/>
    <cellStyle name="Normal 5 3 4 2 6 4" xfId="11583" xr:uid="{5ABEE08F-8297-486C-B8B0-CDBA837B69B1}"/>
    <cellStyle name="Normal 5 3 4 2 7" xfId="2604" xr:uid="{00000000-0005-0000-0000-00003A1A0000}"/>
    <cellStyle name="Normal 5 3 4 2 7 2" xfId="6887" xr:uid="{00000000-0005-0000-0000-00003B1A0000}"/>
    <cellStyle name="Normal 5 3 4 2 7 2 2" xfId="16213" xr:uid="{3824D5B4-CB91-421B-BD49-32357F78B98A}"/>
    <cellStyle name="Normal 5 3 4 2 7 3" xfId="11996" xr:uid="{C80F8005-34F7-44AF-BF27-6D402BF2842E}"/>
    <cellStyle name="Normal 5 3 4 2 8" xfId="4822" xr:uid="{00000000-0005-0000-0000-00003C1A0000}"/>
    <cellStyle name="Normal 5 3 4 2 8 2" xfId="14148" xr:uid="{A1ABBDA1-2BBD-4B8C-B309-69CC968142DB}"/>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6959F250-C9BA-4A09-9A15-0156526AA00F}"/>
    <cellStyle name="Normal 5 3 4 3 2 2 3" xfId="12491" xr:uid="{C65F6AE8-3EED-415A-8D18-9747288D8D3A}"/>
    <cellStyle name="Normal 5 3 4 3 2 3" xfId="5237" xr:uid="{00000000-0005-0000-0000-0000411A0000}"/>
    <cellStyle name="Normal 5 3 4 3 2 3 2" xfId="14563" xr:uid="{CC62788F-161E-4258-B43B-373E83F97724}"/>
    <cellStyle name="Normal 5 3 4 3 2 4" xfId="9463" xr:uid="{1CC38E89-013B-404F-9F3E-11BABC37F656}"/>
    <cellStyle name="Normal 5 3 4 3 2 5" xfId="10346" xr:uid="{2BA5999E-6B18-4175-9FDC-856658B5F8C1}"/>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F6B3E6D9-C7EA-46C1-AA57-F3A6D44914BA}"/>
    <cellStyle name="Normal 5 3 4 3 3 2 3" xfId="12904" xr:uid="{36807193-3832-48D9-8237-4C1C7FE12DC6}"/>
    <cellStyle name="Normal 5 3 4 3 3 3" xfId="5650" xr:uid="{00000000-0005-0000-0000-0000451A0000}"/>
    <cellStyle name="Normal 5 3 4 3 3 3 2" xfId="14976" xr:uid="{6573A4E0-C5B2-4ABE-A48E-48BE0B05FA43}"/>
    <cellStyle name="Normal 5 3 4 3 3 4" xfId="10759" xr:uid="{AF93E544-BA4A-409A-A9F7-ACA6C30935A0}"/>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D82F22BB-8934-4A87-9910-FA78AF889C7C}"/>
    <cellStyle name="Normal 5 3 4 3 4 2 3" xfId="13317" xr:uid="{3FF71CF6-7EE2-4686-B0DE-F63104EAE0DA}"/>
    <cellStyle name="Normal 5 3 4 3 4 3" xfId="6063" xr:uid="{00000000-0005-0000-0000-0000491A0000}"/>
    <cellStyle name="Normal 5 3 4 3 4 3 2" xfId="15389" xr:uid="{61F74533-EE7A-4B61-A733-DC762F18D98C}"/>
    <cellStyle name="Normal 5 3 4 3 4 4" xfId="11172" xr:uid="{4C921C71-1CC8-4C1B-8322-C5160A8396C2}"/>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C35E9A71-2FAF-4E06-BBAB-A0602A626412}"/>
    <cellStyle name="Normal 5 3 4 3 5 2 3" xfId="13730" xr:uid="{B1E85905-085A-4AAE-8432-46C795DF80DA}"/>
    <cellStyle name="Normal 5 3 4 3 5 3" xfId="6476" xr:uid="{00000000-0005-0000-0000-00004D1A0000}"/>
    <cellStyle name="Normal 5 3 4 3 5 3 2" xfId="15802" xr:uid="{5CB8902E-2FEB-4C3D-A64C-2CE74766DC1B}"/>
    <cellStyle name="Normal 5 3 4 3 5 4" xfId="11585" xr:uid="{A4713717-DE44-41FE-A0F4-A36874F91285}"/>
    <cellStyle name="Normal 5 3 4 3 6" xfId="2606" xr:uid="{00000000-0005-0000-0000-00004E1A0000}"/>
    <cellStyle name="Normal 5 3 4 3 6 2" xfId="6889" xr:uid="{00000000-0005-0000-0000-00004F1A0000}"/>
    <cellStyle name="Normal 5 3 4 3 6 2 2" xfId="16215" xr:uid="{0D92AC7D-D4C2-4715-83EF-D90D8FFD71B4}"/>
    <cellStyle name="Normal 5 3 4 3 6 3" xfId="11998" xr:uid="{3E86B502-FF14-4728-B08D-8CC96713C742}"/>
    <cellStyle name="Normal 5 3 4 3 7" xfId="4824" xr:uid="{00000000-0005-0000-0000-0000501A0000}"/>
    <cellStyle name="Normal 5 3 4 3 7 2" xfId="14150" xr:uid="{4766A368-9959-41F8-B382-90325A6DB0D9}"/>
    <cellStyle name="Normal 5 3 4 3 8" xfId="9038" xr:uid="{15024032-E3C2-4FDD-B674-481D39A836C5}"/>
    <cellStyle name="Normal 5 3 4 3 9" xfId="9933" xr:uid="{065B32A7-45E8-41CC-BED6-E4FB4083F0CC}"/>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3FD27CEF-C4F1-4B77-9EBB-9F929AA8C608}"/>
    <cellStyle name="Normal 5 3 4 4 2 3" xfId="12488" xr:uid="{9A8A83AD-D818-4556-864C-E03610362D1D}"/>
    <cellStyle name="Normal 5 3 4 4 3" xfId="5234" xr:uid="{00000000-0005-0000-0000-0000541A0000}"/>
    <cellStyle name="Normal 5 3 4 4 3 2" xfId="14560" xr:uid="{51EC1BC5-4C78-4833-9D76-42D178117946}"/>
    <cellStyle name="Normal 5 3 4 4 4" xfId="9256" xr:uid="{69A14F57-2B46-4294-8CA5-E21858516C25}"/>
    <cellStyle name="Normal 5 3 4 4 5" xfId="10343" xr:uid="{FFC4E655-9915-468F-80FA-0AEF7927B818}"/>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44AD999E-0230-4AFC-9FBF-EF54D29269D4}"/>
    <cellStyle name="Normal 5 3 4 5 2 3" xfId="12901" xr:uid="{295AB2FD-B2C7-4DB8-A81C-CEBDEDEE7B79}"/>
    <cellStyle name="Normal 5 3 4 5 3" xfId="5647" xr:uid="{00000000-0005-0000-0000-0000581A0000}"/>
    <cellStyle name="Normal 5 3 4 5 3 2" xfId="14973" xr:uid="{5874B192-55CE-41AA-BC7E-FCFC6FAEFB00}"/>
    <cellStyle name="Normal 5 3 4 5 4" xfId="10756" xr:uid="{53F64B27-69F4-4822-93EB-43F2767C0DFD}"/>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5D9333C0-A7D5-4C27-A3B2-455250BA741C}"/>
    <cellStyle name="Normal 5 3 4 6 2 3" xfId="13314" xr:uid="{6BD155F6-1B88-451D-A5EB-1A9F6FD8A48C}"/>
    <cellStyle name="Normal 5 3 4 6 3" xfId="6060" xr:uid="{00000000-0005-0000-0000-00005C1A0000}"/>
    <cellStyle name="Normal 5 3 4 6 3 2" xfId="15386" xr:uid="{246331F9-2857-4ED9-85A9-93242DF74959}"/>
    <cellStyle name="Normal 5 3 4 6 4" xfId="11169" xr:uid="{FF6DBC9F-F082-4DAF-A8D6-1FDAC50F885A}"/>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380A2B93-737D-4DA6-9357-29522475A6F3}"/>
    <cellStyle name="Normal 5 3 4 7 2 3" xfId="13727" xr:uid="{22D6BDF6-D36E-40AB-96FA-60F695F326B2}"/>
    <cellStyle name="Normal 5 3 4 7 3" xfId="6473" xr:uid="{00000000-0005-0000-0000-0000601A0000}"/>
    <cellStyle name="Normal 5 3 4 7 3 2" xfId="15799" xr:uid="{80F3ECB8-594F-4986-ACD6-39EBF12003DB}"/>
    <cellStyle name="Normal 5 3 4 7 4" xfId="11582" xr:uid="{A59231F6-C2ED-4C11-9000-AC18D89F0B9E}"/>
    <cellStyle name="Normal 5 3 4 8" xfId="2603" xr:uid="{00000000-0005-0000-0000-0000611A0000}"/>
    <cellStyle name="Normal 5 3 4 8 2" xfId="6886" xr:uid="{00000000-0005-0000-0000-0000621A0000}"/>
    <cellStyle name="Normal 5 3 4 8 2 2" xfId="16212" xr:uid="{4E43EAF4-D839-48F4-A817-3BC8C973D7BC}"/>
    <cellStyle name="Normal 5 3 4 8 3" xfId="11995" xr:uid="{69296100-FA4F-4CF1-8B02-DB9937CFA1F6}"/>
    <cellStyle name="Normal 5 3 4 9" xfId="4821" xr:uid="{00000000-0005-0000-0000-0000631A0000}"/>
    <cellStyle name="Normal 5 3 4 9 2" xfId="14147" xr:uid="{EF26141C-5F3F-4E6E-8213-233FAF919AEC}"/>
    <cellStyle name="Normal 5 3 5" xfId="453" xr:uid="{00000000-0005-0000-0000-0000641A0000}"/>
    <cellStyle name="Normal 5 3 5 10" xfId="9934" xr:uid="{49FA8749-C3EF-4FA9-8A70-F5A6C875B46A}"/>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905B6512-2E2B-4C34-B121-1852DFBD0911}"/>
    <cellStyle name="Normal 5 3 5 2 2 2 3" xfId="12493" xr:uid="{C8FBC339-D400-4EC5-8EA1-A4F62C62B415}"/>
    <cellStyle name="Normal 5 3 5 2 2 3" xfId="5239" xr:uid="{00000000-0005-0000-0000-0000691A0000}"/>
    <cellStyle name="Normal 5 3 5 2 2 3 2" xfId="14565" xr:uid="{7D40E8FC-4409-45F3-8D42-25A443446282}"/>
    <cellStyle name="Normal 5 3 5 2 2 4" xfId="9485" xr:uid="{E88A0512-4544-44F7-B02F-696DEB177F8E}"/>
    <cellStyle name="Normal 5 3 5 2 2 5" xfId="10348" xr:uid="{E54FDAB1-ABDC-46D5-8E61-D000E3781D4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7EC847CE-15C0-4496-A3C7-FA3F71381E68}"/>
    <cellStyle name="Normal 5 3 5 2 3 2 3" xfId="12906" xr:uid="{326B9082-4ED6-4821-87DC-6827D18F0B93}"/>
    <cellStyle name="Normal 5 3 5 2 3 3" xfId="5652" xr:uid="{00000000-0005-0000-0000-00006D1A0000}"/>
    <cellStyle name="Normal 5 3 5 2 3 3 2" xfId="14978" xr:uid="{4CF55FEB-4996-45B7-87B9-2387C62E70E9}"/>
    <cellStyle name="Normal 5 3 5 2 3 4" xfId="10761" xr:uid="{31AA8C1E-7AB4-4C89-9C66-AC0F70C94ED5}"/>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BDA5DAC9-FC2B-4C8E-8E57-91B9F38E49DE}"/>
    <cellStyle name="Normal 5 3 5 2 4 2 3" xfId="13319" xr:uid="{00BE4D7F-A011-4D04-BEFA-42C9CA2B452F}"/>
    <cellStyle name="Normal 5 3 5 2 4 3" xfId="6065" xr:uid="{00000000-0005-0000-0000-0000711A0000}"/>
    <cellStyle name="Normal 5 3 5 2 4 3 2" xfId="15391" xr:uid="{EDC738CF-38FF-42E6-B7DC-D47D5DAF31AD}"/>
    <cellStyle name="Normal 5 3 5 2 4 4" xfId="11174" xr:uid="{A044F90A-821E-4B1F-9034-BAB6DFD60197}"/>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1C6DDA4F-98DE-4F6D-80E0-67D5EDA9C0D8}"/>
    <cellStyle name="Normal 5 3 5 2 5 2 3" xfId="13732" xr:uid="{1BE1BAFF-730B-4A99-AD52-7FBF9AEA6ECE}"/>
    <cellStyle name="Normal 5 3 5 2 5 3" xfId="6478" xr:uid="{00000000-0005-0000-0000-0000751A0000}"/>
    <cellStyle name="Normal 5 3 5 2 5 3 2" xfId="15804" xr:uid="{41F61B93-E88A-4AEC-A978-8F67FCD5EF2F}"/>
    <cellStyle name="Normal 5 3 5 2 5 4" xfId="11587" xr:uid="{F9682506-DB43-4DD1-9140-3D82664A600C}"/>
    <cellStyle name="Normal 5 3 5 2 6" xfId="2608" xr:uid="{00000000-0005-0000-0000-0000761A0000}"/>
    <cellStyle name="Normal 5 3 5 2 6 2" xfId="6891" xr:uid="{00000000-0005-0000-0000-0000771A0000}"/>
    <cellStyle name="Normal 5 3 5 2 6 2 2" xfId="16217" xr:uid="{003ABC83-39E6-4F94-BFE8-C7BA7ED68A6A}"/>
    <cellStyle name="Normal 5 3 5 2 6 3" xfId="12000" xr:uid="{32D11E8E-937F-45A8-99B7-C2BD0E15070B}"/>
    <cellStyle name="Normal 5 3 5 2 7" xfId="4826" xr:uid="{00000000-0005-0000-0000-0000781A0000}"/>
    <cellStyle name="Normal 5 3 5 2 7 2" xfId="14152" xr:uid="{7C32AB40-4378-4EA9-A5C7-3ECBA15C554C}"/>
    <cellStyle name="Normal 5 3 5 2 8" xfId="9060" xr:uid="{D76124DC-5753-46E4-97E7-1D76E6E20EEE}"/>
    <cellStyle name="Normal 5 3 5 2 9" xfId="9935" xr:uid="{CB330543-C2A2-4D3A-B60C-4B1AC3A2EC30}"/>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A0F4141B-115F-47E5-99E4-AD90589A09BC}"/>
    <cellStyle name="Normal 5 3 5 3 2 3" xfId="12492" xr:uid="{8F1B9C07-D037-4016-BB6B-7F0BC9A0B52E}"/>
    <cellStyle name="Normal 5 3 5 3 3" xfId="5238" xr:uid="{00000000-0005-0000-0000-00007C1A0000}"/>
    <cellStyle name="Normal 5 3 5 3 3 2" xfId="14564" xr:uid="{6E6D09D0-677C-4998-85AE-7DD45BE42AED}"/>
    <cellStyle name="Normal 5 3 5 3 4" xfId="9278" xr:uid="{6197750A-97CA-41EF-A67C-63E25EE58E9E}"/>
    <cellStyle name="Normal 5 3 5 3 5" xfId="10347" xr:uid="{57C4F9DE-CE4E-4A55-B26D-E649651E2FD3}"/>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9FEA3188-4758-4FEA-87E0-6E4C48432D0C}"/>
    <cellStyle name="Normal 5 3 5 4 2 3" xfId="12905" xr:uid="{9EB427AF-D43A-4ADB-A782-3E5EFDBE0FEB}"/>
    <cellStyle name="Normal 5 3 5 4 3" xfId="5651" xr:uid="{00000000-0005-0000-0000-0000801A0000}"/>
    <cellStyle name="Normal 5 3 5 4 3 2" xfId="14977" xr:uid="{7E0A252B-51E2-4FE1-93BE-86067CF63DE3}"/>
    <cellStyle name="Normal 5 3 5 4 4" xfId="10760" xr:uid="{780D9C7A-351E-459A-9B68-AECA348614BA}"/>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A9CE1990-02E9-4CEE-B51B-1FBFAC8EE2E3}"/>
    <cellStyle name="Normal 5 3 5 5 2 3" xfId="13318" xr:uid="{432188EC-A77F-40F2-821B-A3625D75BA55}"/>
    <cellStyle name="Normal 5 3 5 5 3" xfId="6064" xr:uid="{00000000-0005-0000-0000-0000841A0000}"/>
    <cellStyle name="Normal 5 3 5 5 3 2" xfId="15390" xr:uid="{718236E9-A7F9-4495-BC39-D3741C008B30}"/>
    <cellStyle name="Normal 5 3 5 5 4" xfId="11173" xr:uid="{A97CE147-65FA-4E77-8528-FA693896D9A2}"/>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C425E2A0-1D77-48B0-A1FD-865DE71A22FE}"/>
    <cellStyle name="Normal 5 3 5 6 2 3" xfId="13731" xr:uid="{A965B8B3-0582-4813-AB87-0DF046C613CF}"/>
    <cellStyle name="Normal 5 3 5 6 3" xfId="6477" xr:uid="{00000000-0005-0000-0000-0000881A0000}"/>
    <cellStyle name="Normal 5 3 5 6 3 2" xfId="15803" xr:uid="{45A6DF1D-859D-44C1-9632-60ED4D737714}"/>
    <cellStyle name="Normal 5 3 5 6 4" xfId="11586" xr:uid="{1A6233C2-E564-4096-B8A1-039C7363FCD2}"/>
    <cellStyle name="Normal 5 3 5 7" xfId="2607" xr:uid="{00000000-0005-0000-0000-0000891A0000}"/>
    <cellStyle name="Normal 5 3 5 7 2" xfId="6890" xr:uid="{00000000-0005-0000-0000-00008A1A0000}"/>
    <cellStyle name="Normal 5 3 5 7 2 2" xfId="16216" xr:uid="{24C95715-2EB2-453F-9D80-3EBE757B2AEC}"/>
    <cellStyle name="Normal 5 3 5 7 3" xfId="11999" xr:uid="{037D300A-193F-47FD-99F3-0BB5E9040AE0}"/>
    <cellStyle name="Normal 5 3 5 8" xfId="4825" xr:uid="{00000000-0005-0000-0000-00008B1A0000}"/>
    <cellStyle name="Normal 5 3 5 8 2" xfId="14151" xr:uid="{E4CFF574-5772-4FD9-9EE7-8B24773AF242}"/>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C899F78E-CB46-409F-9D81-6AC5E10A9988}"/>
    <cellStyle name="Normal 5 3 6 2 2 3" xfId="12494" xr:uid="{734C6769-AA75-4688-8419-19EAC904E71D}"/>
    <cellStyle name="Normal 5 3 6 2 3" xfId="5240" xr:uid="{00000000-0005-0000-0000-0000901A0000}"/>
    <cellStyle name="Normal 5 3 6 2 3 2" xfId="14566" xr:uid="{426564DC-C310-4653-90EC-C9F9C2EABDD4}"/>
    <cellStyle name="Normal 5 3 6 2 4" xfId="9394" xr:uid="{040FDD8C-10C9-4583-9A6E-8F76047ECA0C}"/>
    <cellStyle name="Normal 5 3 6 2 5" xfId="10349" xr:uid="{AF0C1F09-1F7E-42F2-99C0-9FDE2E420F96}"/>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722AF3D0-0287-408A-90BD-4C080943D986}"/>
    <cellStyle name="Normal 5 3 6 3 2 3" xfId="12907" xr:uid="{E83B0936-4DFF-420C-8AC6-2FE56B8BCFA2}"/>
    <cellStyle name="Normal 5 3 6 3 3" xfId="5653" xr:uid="{00000000-0005-0000-0000-0000941A0000}"/>
    <cellStyle name="Normal 5 3 6 3 3 2" xfId="14979" xr:uid="{34D185CA-8539-41B4-8DC7-3831FA5021BE}"/>
    <cellStyle name="Normal 5 3 6 3 4" xfId="10762" xr:uid="{F15B55BC-CCAC-45B0-B60E-6623519EA406}"/>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CFB40DB4-43CC-42C3-ACC6-40242CE030BD}"/>
    <cellStyle name="Normal 5 3 6 4 2 3" xfId="13320" xr:uid="{A377A9D2-3D36-4E74-B713-2AC759899403}"/>
    <cellStyle name="Normal 5 3 6 4 3" xfId="6066" xr:uid="{00000000-0005-0000-0000-0000981A0000}"/>
    <cellStyle name="Normal 5 3 6 4 3 2" xfId="15392" xr:uid="{565BD47C-3031-4C95-9472-7564838CABDF}"/>
    <cellStyle name="Normal 5 3 6 4 4" xfId="11175" xr:uid="{A7F956AC-0A03-4D9D-88DA-0ED61EC948DD}"/>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D4C45B7C-B673-4C42-B373-E6F6C9CC7273}"/>
    <cellStyle name="Normal 5 3 6 5 2 3" xfId="13733" xr:uid="{91A9EB2B-5951-4912-8D52-90E20FD940F6}"/>
    <cellStyle name="Normal 5 3 6 5 3" xfId="6479" xr:uid="{00000000-0005-0000-0000-00009C1A0000}"/>
    <cellStyle name="Normal 5 3 6 5 3 2" xfId="15805" xr:uid="{3C19BF1E-5AEA-425B-89AD-D68855418DC2}"/>
    <cellStyle name="Normal 5 3 6 5 4" xfId="11588" xr:uid="{2310DD54-FF6E-4900-AF98-B7A744D3BCCD}"/>
    <cellStyle name="Normal 5 3 6 6" xfId="2609" xr:uid="{00000000-0005-0000-0000-00009D1A0000}"/>
    <cellStyle name="Normal 5 3 6 6 2" xfId="6892" xr:uid="{00000000-0005-0000-0000-00009E1A0000}"/>
    <cellStyle name="Normal 5 3 6 6 2 2" xfId="16218" xr:uid="{7AE1AC48-E710-4B46-876E-AEA7BCD57D08}"/>
    <cellStyle name="Normal 5 3 6 6 3" xfId="12001" xr:uid="{B8C6B819-414C-4B0E-A278-454528B1AD6D}"/>
    <cellStyle name="Normal 5 3 6 7" xfId="4827" xr:uid="{00000000-0005-0000-0000-00009F1A0000}"/>
    <cellStyle name="Normal 5 3 6 7 2" xfId="14153" xr:uid="{4C1EF978-103A-4081-B3C7-46CB0846E767}"/>
    <cellStyle name="Normal 5 3 6 8" xfId="8969" xr:uid="{FA7ABEAF-BFEA-4D3E-A53B-E23F3117BFD8}"/>
    <cellStyle name="Normal 5 3 6 9" xfId="9936" xr:uid="{F5B3C020-1FD4-49DC-934E-BDD3128C363F}"/>
    <cellStyle name="Normal 5 3 7" xfId="913" xr:uid="{00000000-0005-0000-0000-0000A01A0000}"/>
    <cellStyle name="Normal 5 3 7 2" xfId="3148" xr:uid="{00000000-0005-0000-0000-0000A11A0000}"/>
    <cellStyle name="Normal 5 3 7 2 2" xfId="7370" xr:uid="{00000000-0005-0000-0000-0000A21A0000}"/>
    <cellStyle name="Normal 5 3 7 2 2 2" xfId="16696" xr:uid="{D53C85EB-9A02-4032-8A15-09CEFC37DD39}"/>
    <cellStyle name="Normal 5 3 7 2 3" xfId="12479" xr:uid="{F3375A7A-3600-4582-82FF-2BC3A4A2EDF3}"/>
    <cellStyle name="Normal 5 3 7 3" xfId="5225" xr:uid="{00000000-0005-0000-0000-0000A31A0000}"/>
    <cellStyle name="Normal 5 3 7 3 2" xfId="14551" xr:uid="{EC9634D1-156F-434F-B8D2-A68A9C66652F}"/>
    <cellStyle name="Normal 5 3 7 4" xfId="9172" xr:uid="{5609ABAF-B913-41DD-9CCE-B28C6A880815}"/>
    <cellStyle name="Normal 5 3 7 5" xfId="10334" xr:uid="{542DCBD3-BD73-435E-B8FC-FF586729410A}"/>
    <cellStyle name="Normal 5 3 8" xfId="1331" xr:uid="{00000000-0005-0000-0000-0000A41A0000}"/>
    <cellStyle name="Normal 5 3 8 2" xfId="3561" xr:uid="{00000000-0005-0000-0000-0000A51A0000}"/>
    <cellStyle name="Normal 5 3 8 2 2" xfId="7783" xr:uid="{00000000-0005-0000-0000-0000A61A0000}"/>
    <cellStyle name="Normal 5 3 8 2 2 2" xfId="17109" xr:uid="{51BEF73A-66C3-4774-95F1-D7C1D6E73E20}"/>
    <cellStyle name="Normal 5 3 8 2 3" xfId="12892" xr:uid="{01901BEB-0B97-4865-832C-DBA187FE5A6B}"/>
    <cellStyle name="Normal 5 3 8 3" xfId="5638" xr:uid="{00000000-0005-0000-0000-0000A71A0000}"/>
    <cellStyle name="Normal 5 3 8 3 2" xfId="14964" xr:uid="{FFA6BC17-59BE-453B-A04C-406B0174B130}"/>
    <cellStyle name="Normal 5 3 8 4" xfId="10747" xr:uid="{21D454EB-7E6E-4705-866F-2537C6952310}"/>
    <cellStyle name="Normal 5 3 9" xfId="1744" xr:uid="{00000000-0005-0000-0000-0000A81A0000}"/>
    <cellStyle name="Normal 5 3 9 2" xfId="3974" xr:uid="{00000000-0005-0000-0000-0000A91A0000}"/>
    <cellStyle name="Normal 5 3 9 2 2" xfId="8196" xr:uid="{00000000-0005-0000-0000-0000AA1A0000}"/>
    <cellStyle name="Normal 5 3 9 2 2 2" xfId="17522" xr:uid="{0F55253B-DBB3-43C4-8A15-C6AF30A1069A}"/>
    <cellStyle name="Normal 5 3 9 2 3" xfId="13305" xr:uid="{0E904BDA-99FD-4BA4-8CFC-25D4786C56BB}"/>
    <cellStyle name="Normal 5 3 9 3" xfId="6051" xr:uid="{00000000-0005-0000-0000-0000AB1A0000}"/>
    <cellStyle name="Normal 5 3 9 3 2" xfId="15377" xr:uid="{F0C0FC05-3C3E-42AC-97A1-5B7604ACEA97}"/>
    <cellStyle name="Normal 5 3 9 4" xfId="11160" xr:uid="{93AE47B3-4EB0-448D-BB75-AD668F2CE850}"/>
    <cellStyle name="Normal 5 4" xfId="456" xr:uid="{00000000-0005-0000-0000-0000AC1A0000}"/>
    <cellStyle name="Normal 5 4 10" xfId="4828" xr:uid="{00000000-0005-0000-0000-0000AD1A0000}"/>
    <cellStyle name="Normal 5 4 10 2" xfId="14154" xr:uid="{293762FD-7E22-4DF0-A311-643424D23901}"/>
    <cellStyle name="Normal 5 4 11" xfId="8773" xr:uid="{50472F80-32FD-428C-B078-8DE338D6CA16}"/>
    <cellStyle name="Normal 5 4 12" xfId="9937" xr:uid="{F88FB51E-4118-4FCD-8FF7-81CC9A39A18D}"/>
    <cellStyle name="Normal 5 4 2" xfId="457" xr:uid="{00000000-0005-0000-0000-0000AE1A0000}"/>
    <cellStyle name="Normal 5 4 2 10" xfId="8833" xr:uid="{6EA55230-8E5B-4EF6-B83C-8DF4202F8C31}"/>
    <cellStyle name="Normal 5 4 2 11" xfId="9938" xr:uid="{03B805EA-39AD-4407-90A2-C0041E95045D}"/>
    <cellStyle name="Normal 5 4 2 2" xfId="458" xr:uid="{00000000-0005-0000-0000-0000AF1A0000}"/>
    <cellStyle name="Normal 5 4 2 2 10" xfId="9939" xr:uid="{38F13D2A-52F5-47F3-9B9C-26F74E90805E}"/>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44453FC9-81A8-4D06-A8D6-8F6AD2718F4E}"/>
    <cellStyle name="Normal 5 4 2 2 2 2 2 3" xfId="12498" xr:uid="{D75BD301-8648-4296-9745-BA7F63027D5B}"/>
    <cellStyle name="Normal 5 4 2 2 2 2 3" xfId="5244" xr:uid="{00000000-0005-0000-0000-0000B41A0000}"/>
    <cellStyle name="Normal 5 4 2 2 2 2 3 2" xfId="14570" xr:uid="{DDA3B5FD-09E5-4768-B5E2-4E7A62D879B0}"/>
    <cellStyle name="Normal 5 4 2 2 2 2 4" xfId="9568" xr:uid="{C9922021-D284-4633-BD4E-F2DB1197482A}"/>
    <cellStyle name="Normal 5 4 2 2 2 2 5" xfId="10353" xr:uid="{38691693-71A8-4685-B5BE-FD98144A88B1}"/>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764C19DE-E814-4854-846C-DD6F1F800094}"/>
    <cellStyle name="Normal 5 4 2 2 2 3 2 3" xfId="12911" xr:uid="{FA1FB30F-CD1E-4C4F-AAE2-633E0698B19C}"/>
    <cellStyle name="Normal 5 4 2 2 2 3 3" xfId="5657" xr:uid="{00000000-0005-0000-0000-0000B81A0000}"/>
    <cellStyle name="Normal 5 4 2 2 2 3 3 2" xfId="14983" xr:uid="{4A3E77F5-3452-40DC-A8A3-5EFFFEC12DD3}"/>
    <cellStyle name="Normal 5 4 2 2 2 3 4" xfId="10766" xr:uid="{E8E2E343-DB9E-4F58-8A5C-F6D32C049A7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3D67F0C1-82A9-411B-A3A1-05C1D157AAC8}"/>
    <cellStyle name="Normal 5 4 2 2 2 4 2 3" xfId="13324" xr:uid="{48593983-BA09-4B2D-8859-639BC55B94DD}"/>
    <cellStyle name="Normal 5 4 2 2 2 4 3" xfId="6070" xr:uid="{00000000-0005-0000-0000-0000BC1A0000}"/>
    <cellStyle name="Normal 5 4 2 2 2 4 3 2" xfId="15396" xr:uid="{85178754-BBB5-4B6E-B5FD-E5FDAFCF6405}"/>
    <cellStyle name="Normal 5 4 2 2 2 4 4" xfId="11179" xr:uid="{09FEC6EB-4561-4A28-B5C8-C572162EE405}"/>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25DDCED5-0417-471C-8ED0-535A8188019C}"/>
    <cellStyle name="Normal 5 4 2 2 2 5 2 3" xfId="13737" xr:uid="{49EE5D7C-BF47-40D0-B00A-70F5B01ACA6F}"/>
    <cellStyle name="Normal 5 4 2 2 2 5 3" xfId="6483" xr:uid="{00000000-0005-0000-0000-0000C01A0000}"/>
    <cellStyle name="Normal 5 4 2 2 2 5 3 2" xfId="15809" xr:uid="{9CA616C0-9F12-4E6D-8365-41B23CCDF54D}"/>
    <cellStyle name="Normal 5 4 2 2 2 5 4" xfId="11592" xr:uid="{32D6E550-49BC-4DE3-8D66-5EE1D266D40F}"/>
    <cellStyle name="Normal 5 4 2 2 2 6" xfId="2613" xr:uid="{00000000-0005-0000-0000-0000C11A0000}"/>
    <cellStyle name="Normal 5 4 2 2 2 6 2" xfId="6896" xr:uid="{00000000-0005-0000-0000-0000C21A0000}"/>
    <cellStyle name="Normal 5 4 2 2 2 6 2 2" xfId="16222" xr:uid="{5796DB07-D3A0-469F-9256-439B1D89454A}"/>
    <cellStyle name="Normal 5 4 2 2 2 6 3" xfId="12005" xr:uid="{7E101088-2409-45BD-AC31-599A1288D2F9}"/>
    <cellStyle name="Normal 5 4 2 2 2 7" xfId="4831" xr:uid="{00000000-0005-0000-0000-0000C31A0000}"/>
    <cellStyle name="Normal 5 4 2 2 2 7 2" xfId="14157" xr:uid="{E7EB5EEF-6613-4660-8852-B7EF537D7F0F}"/>
    <cellStyle name="Normal 5 4 2 2 2 8" xfId="9143" xr:uid="{C8F15FA9-FDFE-4358-95A8-17B14299B14C}"/>
    <cellStyle name="Normal 5 4 2 2 2 9" xfId="9940" xr:uid="{2F88FB51-489E-459C-81D0-60854A09B056}"/>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8DDAD156-BDE3-489F-9A23-6B238FE8AD25}"/>
    <cellStyle name="Normal 5 4 2 2 3 2 3" xfId="12497" xr:uid="{DE0AD998-3AC0-464C-B1D0-D66F5BBD9CFC}"/>
    <cellStyle name="Normal 5 4 2 2 3 3" xfId="5243" xr:uid="{00000000-0005-0000-0000-0000C71A0000}"/>
    <cellStyle name="Normal 5 4 2 2 3 3 2" xfId="14569" xr:uid="{EFFBC8BF-5F01-4511-8F9E-E566D0A7CFF6}"/>
    <cellStyle name="Normal 5 4 2 2 3 4" xfId="9361" xr:uid="{421F0FC8-8E8F-498F-BD31-B00CB58D5B43}"/>
    <cellStyle name="Normal 5 4 2 2 3 5" xfId="10352" xr:uid="{3BE0A3F2-D0F0-4FA9-9D9F-BEC91A05A798}"/>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953F9235-8314-4214-87FA-98DB8D3A975C}"/>
    <cellStyle name="Normal 5 4 2 2 4 2 3" xfId="12910" xr:uid="{94B3102D-D842-45A8-8EE9-F84241EAF8A8}"/>
    <cellStyle name="Normal 5 4 2 2 4 3" xfId="5656" xr:uid="{00000000-0005-0000-0000-0000CB1A0000}"/>
    <cellStyle name="Normal 5 4 2 2 4 3 2" xfId="14982" xr:uid="{5BA7ABA0-791A-4594-B197-620FCC02D5F4}"/>
    <cellStyle name="Normal 5 4 2 2 4 4" xfId="10765" xr:uid="{62E28CD9-55FE-40C4-97A2-B714444C83F0}"/>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2A74262B-96CC-490B-9BD4-7E0A2EE9AC67}"/>
    <cellStyle name="Normal 5 4 2 2 5 2 3" xfId="13323" xr:uid="{A94223BC-D88C-46E3-8C8F-A4DE2AD9C19F}"/>
    <cellStyle name="Normal 5 4 2 2 5 3" xfId="6069" xr:uid="{00000000-0005-0000-0000-0000CF1A0000}"/>
    <cellStyle name="Normal 5 4 2 2 5 3 2" xfId="15395" xr:uid="{CCFC47DD-79DE-4E6F-AFC4-96E3468E1712}"/>
    <cellStyle name="Normal 5 4 2 2 5 4" xfId="11178" xr:uid="{B016CDE8-0BEF-4BD3-B9EB-4DA0A2F3D652}"/>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4339164A-8547-4E21-B648-FF79E359CD64}"/>
    <cellStyle name="Normal 5 4 2 2 6 2 3" xfId="13736" xr:uid="{26C5AD34-D336-4086-A9BD-AD290BC0A6E6}"/>
    <cellStyle name="Normal 5 4 2 2 6 3" xfId="6482" xr:uid="{00000000-0005-0000-0000-0000D31A0000}"/>
    <cellStyle name="Normal 5 4 2 2 6 3 2" xfId="15808" xr:uid="{F04FFC04-17FE-4447-913E-3AF45BC7B801}"/>
    <cellStyle name="Normal 5 4 2 2 6 4" xfId="11591" xr:uid="{568B9209-DE16-4196-A31F-4ADA604BACDA}"/>
    <cellStyle name="Normal 5 4 2 2 7" xfId="2612" xr:uid="{00000000-0005-0000-0000-0000D41A0000}"/>
    <cellStyle name="Normal 5 4 2 2 7 2" xfId="6895" xr:uid="{00000000-0005-0000-0000-0000D51A0000}"/>
    <cellStyle name="Normal 5 4 2 2 7 2 2" xfId="16221" xr:uid="{1FA1AD82-9289-473A-87C6-0163D8AB3D6E}"/>
    <cellStyle name="Normal 5 4 2 2 7 3" xfId="12004" xr:uid="{7CAE8BDC-EBBF-4B72-A7F3-FA241B375F5E}"/>
    <cellStyle name="Normal 5 4 2 2 8" xfId="4830" xr:uid="{00000000-0005-0000-0000-0000D61A0000}"/>
    <cellStyle name="Normal 5 4 2 2 8 2" xfId="14156" xr:uid="{AF1B6263-06FF-41C2-A78A-B0D66A968682}"/>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4F643DEA-0187-45E0-8210-6EDEDF14F1E6}"/>
    <cellStyle name="Normal 5 4 2 3 2 2 3" xfId="12499" xr:uid="{B74C6E0E-8D0F-4B43-930E-430EFD96B6E7}"/>
    <cellStyle name="Normal 5 4 2 3 2 3" xfId="5245" xr:uid="{00000000-0005-0000-0000-0000DB1A0000}"/>
    <cellStyle name="Normal 5 4 2 3 2 3 2" xfId="14571" xr:uid="{027E9D27-6399-4674-A6D3-9254B189F011}"/>
    <cellStyle name="Normal 5 4 2 3 2 4" xfId="9465" xr:uid="{B8459C73-266B-467B-A163-FFDFF015A460}"/>
    <cellStyle name="Normal 5 4 2 3 2 5" xfId="10354" xr:uid="{F0C380DE-D2D5-4B11-8812-D656F7513DF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79DE3926-B363-4C66-A896-926EA3F9CC28}"/>
    <cellStyle name="Normal 5 4 2 3 3 2 3" xfId="12912" xr:uid="{6010F6C5-CBAC-4F39-88B8-4B96CAE71D20}"/>
    <cellStyle name="Normal 5 4 2 3 3 3" xfId="5658" xr:uid="{00000000-0005-0000-0000-0000DF1A0000}"/>
    <cellStyle name="Normal 5 4 2 3 3 3 2" xfId="14984" xr:uid="{25579974-94C4-4A2C-B681-2BD7D90D1233}"/>
    <cellStyle name="Normal 5 4 2 3 3 4" xfId="10767" xr:uid="{247EAC1A-28C7-458D-85F7-727831DDBD7F}"/>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E481EC9F-375C-4F29-992F-7B3112E3ABE5}"/>
    <cellStyle name="Normal 5 4 2 3 4 2 3" xfId="13325" xr:uid="{0069CD7E-C1DD-48CF-9D81-6E72D0E243E0}"/>
    <cellStyle name="Normal 5 4 2 3 4 3" xfId="6071" xr:uid="{00000000-0005-0000-0000-0000E31A0000}"/>
    <cellStyle name="Normal 5 4 2 3 4 3 2" xfId="15397" xr:uid="{ACFB7429-D647-4865-82A3-7CD0EBEBD39C}"/>
    <cellStyle name="Normal 5 4 2 3 4 4" xfId="11180" xr:uid="{EC56F13E-A4C7-4CD3-9C4F-E477F0563F36}"/>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2661C356-5FB9-4C2F-81C5-676816ECD9E5}"/>
    <cellStyle name="Normal 5 4 2 3 5 2 3" xfId="13738" xr:uid="{4400773C-D600-42DC-B966-214D178A6008}"/>
    <cellStyle name="Normal 5 4 2 3 5 3" xfId="6484" xr:uid="{00000000-0005-0000-0000-0000E71A0000}"/>
    <cellStyle name="Normal 5 4 2 3 5 3 2" xfId="15810" xr:uid="{D2A3806B-5194-4049-9F84-872816997C95}"/>
    <cellStyle name="Normal 5 4 2 3 5 4" xfId="11593" xr:uid="{E44D2EC1-5EED-4265-80BC-A2FFC91C06B4}"/>
    <cellStyle name="Normal 5 4 2 3 6" xfId="2614" xr:uid="{00000000-0005-0000-0000-0000E81A0000}"/>
    <cellStyle name="Normal 5 4 2 3 6 2" xfId="6897" xr:uid="{00000000-0005-0000-0000-0000E91A0000}"/>
    <cellStyle name="Normal 5 4 2 3 6 2 2" xfId="16223" xr:uid="{3FEE38CB-9118-4F7C-8B32-2AF3336580F0}"/>
    <cellStyle name="Normal 5 4 2 3 6 3" xfId="12006" xr:uid="{9C6C226F-5CCB-4AD0-8228-A986617B7779}"/>
    <cellStyle name="Normal 5 4 2 3 7" xfId="4832" xr:uid="{00000000-0005-0000-0000-0000EA1A0000}"/>
    <cellStyle name="Normal 5 4 2 3 7 2" xfId="14158" xr:uid="{65F87BCE-4991-491D-86C8-D0EDEDADD37E}"/>
    <cellStyle name="Normal 5 4 2 3 8" xfId="9040" xr:uid="{D68CAB17-BB41-4D9B-AA76-76FE511392DC}"/>
    <cellStyle name="Normal 5 4 2 3 9" xfId="9941" xr:uid="{15E65BD9-5406-45A8-A447-96556C4EC0AB}"/>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4616723B-84E0-4012-AA61-62BCA2FA4A81}"/>
    <cellStyle name="Normal 5 4 2 4 2 3" xfId="12496" xr:uid="{B42061F7-D9DF-4B7B-BF19-6246F7BD9E90}"/>
    <cellStyle name="Normal 5 4 2 4 3" xfId="5242" xr:uid="{00000000-0005-0000-0000-0000EE1A0000}"/>
    <cellStyle name="Normal 5 4 2 4 3 2" xfId="14568" xr:uid="{7B4D7D78-D13A-400A-80D2-7BE7397BDAF7}"/>
    <cellStyle name="Normal 5 4 2 4 4" xfId="9258" xr:uid="{971C48A9-8200-405B-A9BE-B3AFD2CDDA76}"/>
    <cellStyle name="Normal 5 4 2 4 5" xfId="10351" xr:uid="{87FD80BE-8345-4182-8DF0-DE848371E3F6}"/>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120AC61A-B237-416E-B46C-6146A61B258C}"/>
    <cellStyle name="Normal 5 4 2 5 2 3" xfId="12909" xr:uid="{59B0DF10-A9A4-4EDA-81EB-845A01114BA4}"/>
    <cellStyle name="Normal 5 4 2 5 3" xfId="5655" xr:uid="{00000000-0005-0000-0000-0000F21A0000}"/>
    <cellStyle name="Normal 5 4 2 5 3 2" xfId="14981" xr:uid="{B2082755-F2F7-461D-ACAC-864906271CD3}"/>
    <cellStyle name="Normal 5 4 2 5 4" xfId="10764" xr:uid="{56BE351F-E026-47A7-8DED-EB054716EE29}"/>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96AE38B9-7813-4723-B97D-AA589B02F476}"/>
    <cellStyle name="Normal 5 4 2 6 2 3" xfId="13322" xr:uid="{C52BD1F8-A7DB-4503-84F4-A0E64F3B3EC1}"/>
    <cellStyle name="Normal 5 4 2 6 3" xfId="6068" xr:uid="{00000000-0005-0000-0000-0000F61A0000}"/>
    <cellStyle name="Normal 5 4 2 6 3 2" xfId="15394" xr:uid="{54A204F8-428E-4C7C-8CEE-E04C8E5F6730}"/>
    <cellStyle name="Normal 5 4 2 6 4" xfId="11177" xr:uid="{9A31FE82-DC64-41E4-A75D-A7E1A9E7FD86}"/>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232C08C8-F5CB-4BC5-AEE7-0D438BF968CA}"/>
    <cellStyle name="Normal 5 4 2 7 2 3" xfId="13735" xr:uid="{D464C64A-B9C5-4798-83D0-7E9AB8A4ED44}"/>
    <cellStyle name="Normal 5 4 2 7 3" xfId="6481" xr:uid="{00000000-0005-0000-0000-0000FA1A0000}"/>
    <cellStyle name="Normal 5 4 2 7 3 2" xfId="15807" xr:uid="{269364E8-86E0-4F20-B06B-5E2C2C5F756F}"/>
    <cellStyle name="Normal 5 4 2 7 4" xfId="11590" xr:uid="{49C831EE-9EB2-42C2-AC72-B47DC51BABE9}"/>
    <cellStyle name="Normal 5 4 2 8" xfId="2611" xr:uid="{00000000-0005-0000-0000-0000FB1A0000}"/>
    <cellStyle name="Normal 5 4 2 8 2" xfId="6894" xr:uid="{00000000-0005-0000-0000-0000FC1A0000}"/>
    <cellStyle name="Normal 5 4 2 8 2 2" xfId="16220" xr:uid="{EB8D1F7A-4C53-4401-9C5F-5E55FBEF9EB6}"/>
    <cellStyle name="Normal 5 4 2 8 3" xfId="12003" xr:uid="{E8042A1A-5E2A-4C2E-9347-2CE2B733E715}"/>
    <cellStyle name="Normal 5 4 2 9" xfId="4829" xr:uid="{00000000-0005-0000-0000-0000FD1A0000}"/>
    <cellStyle name="Normal 5 4 2 9 2" xfId="14155" xr:uid="{0439C5AA-3219-42ED-A763-939FF17AEE6A}"/>
    <cellStyle name="Normal 5 4 3" xfId="461" xr:uid="{00000000-0005-0000-0000-0000FE1A0000}"/>
    <cellStyle name="Normal 5 4 3 10" xfId="9942" xr:uid="{9A8125B0-851D-4F58-8495-7B35452648FE}"/>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8B54805F-220E-46AF-9F0C-035689BADAE4}"/>
    <cellStyle name="Normal 5 4 3 2 2 2 3" xfId="12501" xr:uid="{324AC9B0-200D-4DAB-BC83-F6B745037E56}"/>
    <cellStyle name="Normal 5 4 3 2 2 3" xfId="5247" xr:uid="{00000000-0005-0000-0000-0000031B0000}"/>
    <cellStyle name="Normal 5 4 3 2 2 3 2" xfId="14573" xr:uid="{6C424A33-2536-4430-B863-802D6A43896F}"/>
    <cellStyle name="Normal 5 4 3 2 2 4" xfId="9508" xr:uid="{1F9B5A8F-2A45-43C5-9422-E8BC84424A55}"/>
    <cellStyle name="Normal 5 4 3 2 2 5" xfId="10356" xr:uid="{343040C8-8C96-4FA7-AD6C-79C1FC0B2BDD}"/>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ABAA394A-6D91-462B-8213-B1C736FE6BDA}"/>
    <cellStyle name="Normal 5 4 3 2 3 2 3" xfId="12914" xr:uid="{580BB7E0-AB42-4D29-9C91-0CB403DEC750}"/>
    <cellStyle name="Normal 5 4 3 2 3 3" xfId="5660" xr:uid="{00000000-0005-0000-0000-0000071B0000}"/>
    <cellStyle name="Normal 5 4 3 2 3 3 2" xfId="14986" xr:uid="{E91737EC-FC5C-49A7-8987-87F7E67A00FE}"/>
    <cellStyle name="Normal 5 4 3 2 3 4" xfId="10769" xr:uid="{2576B472-B489-4E57-BB96-1079A0280E1F}"/>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7B3D249E-FC19-4C09-A60C-48CCA90B3466}"/>
    <cellStyle name="Normal 5 4 3 2 4 2 3" xfId="13327" xr:uid="{63748F57-9C70-4EC1-806D-54668DD9F202}"/>
    <cellStyle name="Normal 5 4 3 2 4 3" xfId="6073" xr:uid="{00000000-0005-0000-0000-00000B1B0000}"/>
    <cellStyle name="Normal 5 4 3 2 4 3 2" xfId="15399" xr:uid="{E8CDAB3E-7A52-4FBD-AFB5-ED78A662583D}"/>
    <cellStyle name="Normal 5 4 3 2 4 4" xfId="11182" xr:uid="{8A2CD61A-EA97-450C-8A6B-F7FE36B1D710}"/>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121FD955-A244-4028-A89D-D7CFD77D7687}"/>
    <cellStyle name="Normal 5 4 3 2 5 2 3" xfId="13740" xr:uid="{BB9EA18C-5287-4FAA-89B6-B2CBF0CD98FB}"/>
    <cellStyle name="Normal 5 4 3 2 5 3" xfId="6486" xr:uid="{00000000-0005-0000-0000-00000F1B0000}"/>
    <cellStyle name="Normal 5 4 3 2 5 3 2" xfId="15812" xr:uid="{31868ADB-B375-4A3D-87E8-11C7FED1A821}"/>
    <cellStyle name="Normal 5 4 3 2 5 4" xfId="11595" xr:uid="{B7A9074C-21CA-40CC-887E-A128B04CAC09}"/>
    <cellStyle name="Normal 5 4 3 2 6" xfId="2616" xr:uid="{00000000-0005-0000-0000-0000101B0000}"/>
    <cellStyle name="Normal 5 4 3 2 6 2" xfId="6899" xr:uid="{00000000-0005-0000-0000-0000111B0000}"/>
    <cellStyle name="Normal 5 4 3 2 6 2 2" xfId="16225" xr:uid="{49C34BF1-1777-4798-A0DF-F42CCF8C9589}"/>
    <cellStyle name="Normal 5 4 3 2 6 3" xfId="12008" xr:uid="{6F58287E-0E54-4322-A39B-6F4862C7AD07}"/>
    <cellStyle name="Normal 5 4 3 2 7" xfId="4834" xr:uid="{00000000-0005-0000-0000-0000121B0000}"/>
    <cellStyle name="Normal 5 4 3 2 7 2" xfId="14160" xr:uid="{51340872-A6C4-47DF-8BEA-80B2FD6F1100}"/>
    <cellStyle name="Normal 5 4 3 2 8" xfId="9083" xr:uid="{206384C8-6AD8-4D28-8F99-3033A80D68FC}"/>
    <cellStyle name="Normal 5 4 3 2 9" xfId="9943" xr:uid="{558D6220-F3E4-4B34-A3D8-7F5E115D3FAF}"/>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08E97FA1-C2C9-43F7-8CD6-B99476C8F1D4}"/>
    <cellStyle name="Normal 5 4 3 3 2 3" xfId="12500" xr:uid="{44A00B1D-AAB8-4040-8B0A-F129F0716579}"/>
    <cellStyle name="Normal 5 4 3 3 3" xfId="5246" xr:uid="{00000000-0005-0000-0000-0000161B0000}"/>
    <cellStyle name="Normal 5 4 3 3 3 2" xfId="14572" xr:uid="{9B54A387-6D0B-4157-961C-0C9199998156}"/>
    <cellStyle name="Normal 5 4 3 3 4" xfId="9301" xr:uid="{CB02BBE7-2E3D-4C67-A62E-BA84DE882039}"/>
    <cellStyle name="Normal 5 4 3 3 5" xfId="10355" xr:uid="{91AD5AE3-80F5-4EDF-9586-0E9B7086F729}"/>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99AE3288-310A-46D8-9D1A-BC4768DFE46E}"/>
    <cellStyle name="Normal 5 4 3 4 2 3" xfId="12913" xr:uid="{6FCE61BA-FE58-4AC0-9B5A-4DB809886432}"/>
    <cellStyle name="Normal 5 4 3 4 3" xfId="5659" xr:uid="{00000000-0005-0000-0000-00001A1B0000}"/>
    <cellStyle name="Normal 5 4 3 4 3 2" xfId="14985" xr:uid="{DD42AAEE-E688-48E4-B98D-E28D5897C066}"/>
    <cellStyle name="Normal 5 4 3 4 4" xfId="10768" xr:uid="{C7360463-4217-40DF-BCCB-89F945BCB774}"/>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B51B43E0-922D-4C6D-B527-6F7705365C81}"/>
    <cellStyle name="Normal 5 4 3 5 2 3" xfId="13326" xr:uid="{279C4A2C-F1F5-4A62-9822-545D9E2DD371}"/>
    <cellStyle name="Normal 5 4 3 5 3" xfId="6072" xr:uid="{00000000-0005-0000-0000-00001E1B0000}"/>
    <cellStyle name="Normal 5 4 3 5 3 2" xfId="15398" xr:uid="{2A7D8B82-D883-4409-8F1C-21B4B82E696C}"/>
    <cellStyle name="Normal 5 4 3 5 4" xfId="11181" xr:uid="{E6F99005-AF57-4239-8D12-C90B84CF86EF}"/>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62B39306-4EEA-4F3D-A22D-278C05911DA9}"/>
    <cellStyle name="Normal 5 4 3 6 2 3" xfId="13739" xr:uid="{83F8BFE9-E5AB-4E80-9409-C946F1ED6023}"/>
    <cellStyle name="Normal 5 4 3 6 3" xfId="6485" xr:uid="{00000000-0005-0000-0000-0000221B0000}"/>
    <cellStyle name="Normal 5 4 3 6 3 2" xfId="15811" xr:uid="{F623EA0F-A719-47DE-ABA5-2D5D06F9EF4D}"/>
    <cellStyle name="Normal 5 4 3 6 4" xfId="11594" xr:uid="{4CC85168-DCCE-40A1-98A0-1AABD287BB97}"/>
    <cellStyle name="Normal 5 4 3 7" xfId="2615" xr:uid="{00000000-0005-0000-0000-0000231B0000}"/>
    <cellStyle name="Normal 5 4 3 7 2" xfId="6898" xr:uid="{00000000-0005-0000-0000-0000241B0000}"/>
    <cellStyle name="Normal 5 4 3 7 2 2" xfId="16224" xr:uid="{4E585E06-3FB2-43DB-82D9-61F4B1E80DF1}"/>
    <cellStyle name="Normal 5 4 3 7 3" xfId="12007" xr:uid="{13D5E881-476D-42B6-B56C-AF7B2B8FC390}"/>
    <cellStyle name="Normal 5 4 3 8" xfId="4833" xr:uid="{00000000-0005-0000-0000-0000251B0000}"/>
    <cellStyle name="Normal 5 4 3 8 2" xfId="14159" xr:uid="{BD7D558E-6351-46BB-8DA9-723F745BE7F3}"/>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71A47B09-A430-4A42-A2D4-46160A5C4CDB}"/>
    <cellStyle name="Normal 5 4 4 2 2 3" xfId="12502" xr:uid="{DA46CD25-F28F-4120-8CCA-E2F49ACFA1B1}"/>
    <cellStyle name="Normal 5 4 4 2 3" xfId="5248" xr:uid="{00000000-0005-0000-0000-00002A1B0000}"/>
    <cellStyle name="Normal 5 4 4 2 3 2" xfId="14574" xr:uid="{D8137EEB-7BEC-4DA5-AADD-519E2525A09A}"/>
    <cellStyle name="Normal 5 4 4 2 4" xfId="9405" xr:uid="{F05DE0DC-A0AA-4CEB-9ABC-0D70F781B819}"/>
    <cellStyle name="Normal 5 4 4 2 5" xfId="10357" xr:uid="{F587B8DC-D9BC-44CE-BA67-4F592AE2D550}"/>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4244EF8F-A1B3-45A3-946F-06E1FB86E08A}"/>
    <cellStyle name="Normal 5 4 4 3 2 3" xfId="12915" xr:uid="{2A0862A7-DD86-43C5-A308-6438A826DD6B}"/>
    <cellStyle name="Normal 5 4 4 3 3" xfId="5661" xr:uid="{00000000-0005-0000-0000-00002E1B0000}"/>
    <cellStyle name="Normal 5 4 4 3 3 2" xfId="14987" xr:uid="{182C6B5B-6188-425E-B02B-7E82858E45F4}"/>
    <cellStyle name="Normal 5 4 4 3 4" xfId="10770" xr:uid="{9C66E972-F214-42C5-B23F-72D0FAC65755}"/>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409E34CD-4877-4745-858C-BB594C965B4D}"/>
    <cellStyle name="Normal 5 4 4 4 2 3" xfId="13328" xr:uid="{19C05364-6121-4CE1-A4EC-77C5C120C918}"/>
    <cellStyle name="Normal 5 4 4 4 3" xfId="6074" xr:uid="{00000000-0005-0000-0000-0000321B0000}"/>
    <cellStyle name="Normal 5 4 4 4 3 2" xfId="15400" xr:uid="{A5C7C909-AB8B-4285-96D1-5BC743F54768}"/>
    <cellStyle name="Normal 5 4 4 4 4" xfId="11183" xr:uid="{826FB585-7B63-4B9B-AE4E-C1E0B9D88451}"/>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09031BE4-C38B-4B1E-B704-947A52971858}"/>
    <cellStyle name="Normal 5 4 4 5 2 3" xfId="13741" xr:uid="{6761265C-DC38-43A2-B7DA-5DFF7D581DAD}"/>
    <cellStyle name="Normal 5 4 4 5 3" xfId="6487" xr:uid="{00000000-0005-0000-0000-0000361B0000}"/>
    <cellStyle name="Normal 5 4 4 5 3 2" xfId="15813" xr:uid="{6BF7FDD4-051B-4B70-8ECC-2FCBB66CBB03}"/>
    <cellStyle name="Normal 5 4 4 5 4" xfId="11596" xr:uid="{34D3805E-1230-4DFE-9EA0-5038AF4A8181}"/>
    <cellStyle name="Normal 5 4 4 6" xfId="2617" xr:uid="{00000000-0005-0000-0000-0000371B0000}"/>
    <cellStyle name="Normal 5 4 4 6 2" xfId="6900" xr:uid="{00000000-0005-0000-0000-0000381B0000}"/>
    <cellStyle name="Normal 5 4 4 6 2 2" xfId="16226" xr:uid="{CAE53382-DA93-4074-A40F-4C19E4DAD31C}"/>
    <cellStyle name="Normal 5 4 4 6 3" xfId="12009" xr:uid="{63E5EEC7-C8E7-4DBE-8B35-471C2A7866F9}"/>
    <cellStyle name="Normal 5 4 4 7" xfId="4835" xr:uid="{00000000-0005-0000-0000-0000391B0000}"/>
    <cellStyle name="Normal 5 4 4 7 2" xfId="14161" xr:uid="{D76DB170-25C3-4BCD-BC58-6D691417DBAB}"/>
    <cellStyle name="Normal 5 4 4 8" xfId="8980" xr:uid="{B1DB48A4-94CB-4CC2-8D4B-8FD478363D48}"/>
    <cellStyle name="Normal 5 4 4 9" xfId="9944" xr:uid="{8C9AD203-DA89-4485-8F5A-37ED5D1D034E}"/>
    <cellStyle name="Normal 5 4 5" xfId="930" xr:uid="{00000000-0005-0000-0000-00003A1B0000}"/>
    <cellStyle name="Normal 5 4 5 2" xfId="3164" xr:uid="{00000000-0005-0000-0000-00003B1B0000}"/>
    <cellStyle name="Normal 5 4 5 2 2" xfId="7386" xr:uid="{00000000-0005-0000-0000-00003C1B0000}"/>
    <cellStyle name="Normal 5 4 5 2 2 2" xfId="16712" xr:uid="{922B2C81-9FF2-4BE4-BE25-BA4D4E26F71A}"/>
    <cellStyle name="Normal 5 4 5 2 3" xfId="12495" xr:uid="{FD680100-222E-4BD3-9857-012A29541E0B}"/>
    <cellStyle name="Normal 5 4 5 3" xfId="5241" xr:uid="{00000000-0005-0000-0000-00003D1B0000}"/>
    <cellStyle name="Normal 5 4 5 3 2" xfId="14567" xr:uid="{F0E876D3-5764-40E8-B9B9-7BD115BB7CC9}"/>
    <cellStyle name="Normal 5 4 5 4" xfId="9197" xr:uid="{44FF0EFB-444B-4C40-B695-8C256ADB5563}"/>
    <cellStyle name="Normal 5 4 5 5" xfId="10350" xr:uid="{D5BBA03B-0B8F-499C-8D66-236927A11327}"/>
    <cellStyle name="Normal 5 4 6" xfId="1347" xr:uid="{00000000-0005-0000-0000-00003E1B0000}"/>
    <cellStyle name="Normal 5 4 6 2" xfId="3577" xr:uid="{00000000-0005-0000-0000-00003F1B0000}"/>
    <cellStyle name="Normal 5 4 6 2 2" xfId="7799" xr:uid="{00000000-0005-0000-0000-0000401B0000}"/>
    <cellStyle name="Normal 5 4 6 2 2 2" xfId="17125" xr:uid="{11B8D760-19D8-4AD1-9882-57569C5CBCA7}"/>
    <cellStyle name="Normal 5 4 6 2 3" xfId="12908" xr:uid="{80B9B0C9-DBE4-4AEE-8777-2E71B3A97D8E}"/>
    <cellStyle name="Normal 5 4 6 3" xfId="5654" xr:uid="{00000000-0005-0000-0000-0000411B0000}"/>
    <cellStyle name="Normal 5 4 6 3 2" xfId="14980" xr:uid="{E605185E-A8BE-4BAD-A0B6-02FACAC38BF4}"/>
    <cellStyle name="Normal 5 4 6 4" xfId="10763" xr:uid="{4FD0464D-FF6C-4D5D-A82E-49347C617802}"/>
    <cellStyle name="Normal 5 4 7" xfId="1760" xr:uid="{00000000-0005-0000-0000-0000421B0000}"/>
    <cellStyle name="Normal 5 4 7 2" xfId="3990" xr:uid="{00000000-0005-0000-0000-0000431B0000}"/>
    <cellStyle name="Normal 5 4 7 2 2" xfId="8212" xr:uid="{00000000-0005-0000-0000-0000441B0000}"/>
    <cellStyle name="Normal 5 4 7 2 2 2" xfId="17538" xr:uid="{39F68469-EBA7-4433-8AFC-3E75CC7D627D}"/>
    <cellStyle name="Normal 5 4 7 2 3" xfId="13321" xr:uid="{CAE9A3BC-BD72-44F3-AA93-0BD9C1EB5A6B}"/>
    <cellStyle name="Normal 5 4 7 3" xfId="6067" xr:uid="{00000000-0005-0000-0000-0000451B0000}"/>
    <cellStyle name="Normal 5 4 7 3 2" xfId="15393" xr:uid="{34CC483C-B58F-4EB8-A128-2750335DAB66}"/>
    <cellStyle name="Normal 5 4 7 4" xfId="11176" xr:uid="{7E55FC4E-B811-485D-B1D0-43443BDE974C}"/>
    <cellStyle name="Normal 5 4 8" xfId="2174" xr:uid="{00000000-0005-0000-0000-0000461B0000}"/>
    <cellStyle name="Normal 5 4 8 2" xfId="4403" xr:uid="{00000000-0005-0000-0000-0000471B0000}"/>
    <cellStyle name="Normal 5 4 8 2 2" xfId="8625" xr:uid="{00000000-0005-0000-0000-0000481B0000}"/>
    <cellStyle name="Normal 5 4 8 2 2 2" xfId="17951" xr:uid="{A54C8A43-DE96-4B97-ADB9-C7FDE0766F46}"/>
    <cellStyle name="Normal 5 4 8 2 3" xfId="13734" xr:uid="{2500DC45-AEBA-47BB-B577-8006A60DC0C7}"/>
    <cellStyle name="Normal 5 4 8 3" xfId="6480" xr:uid="{00000000-0005-0000-0000-0000491B0000}"/>
    <cellStyle name="Normal 5 4 8 3 2" xfId="15806" xr:uid="{898AF578-47F7-4385-8747-CB43477D9FD2}"/>
    <cellStyle name="Normal 5 4 8 4" xfId="11589" xr:uid="{3CF2730B-DA4D-4581-AA76-8CEB1CDE54AA}"/>
    <cellStyle name="Normal 5 4 9" xfId="2610" xr:uid="{00000000-0005-0000-0000-00004A1B0000}"/>
    <cellStyle name="Normal 5 4 9 2" xfId="6893" xr:uid="{00000000-0005-0000-0000-00004B1B0000}"/>
    <cellStyle name="Normal 5 4 9 2 2" xfId="16219" xr:uid="{72881786-D702-4F40-8300-EBF1F6F22F2A}"/>
    <cellStyle name="Normal 5 4 9 3" xfId="12002" xr:uid="{15C7D570-F8E9-4BA7-B127-04CC84A73214}"/>
    <cellStyle name="Normal 5 5" xfId="464" xr:uid="{00000000-0005-0000-0000-00004C1B0000}"/>
    <cellStyle name="Normal 5 5 10" xfId="8826" xr:uid="{5746674A-546A-44BF-97FB-6D298BF3AD61}"/>
    <cellStyle name="Normal 5 5 11" xfId="9945" xr:uid="{E24D14B4-6F59-4851-951D-439C2FAAE746}"/>
    <cellStyle name="Normal 5 5 2" xfId="465" xr:uid="{00000000-0005-0000-0000-00004D1B0000}"/>
    <cellStyle name="Normal 5 5 2 10" xfId="9946" xr:uid="{52F00F1C-F8D0-4B6E-8D76-5EF552AFAF57}"/>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C21B2378-4669-4DC3-AE42-62D90AA69D59}"/>
    <cellStyle name="Normal 5 5 2 2 2 2 3" xfId="12505" xr:uid="{94CDE687-732A-4473-BECF-58CCDCBF83DE}"/>
    <cellStyle name="Normal 5 5 2 2 2 3" xfId="5251" xr:uid="{00000000-0005-0000-0000-0000521B0000}"/>
    <cellStyle name="Normal 5 5 2 2 2 3 2" xfId="14577" xr:uid="{4203553E-1ED1-43BD-BA59-C7B9B9C48A83}"/>
    <cellStyle name="Normal 5 5 2 2 2 4" xfId="9561" xr:uid="{FF1EB4DD-E23E-4228-816B-D59B021F724D}"/>
    <cellStyle name="Normal 5 5 2 2 2 5" xfId="10360" xr:uid="{397C719E-327D-48EA-985D-3D730B5A4314}"/>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D4D0BF71-2C00-437F-B98C-C65622BA1A0A}"/>
    <cellStyle name="Normal 5 5 2 2 3 2 3" xfId="12918" xr:uid="{D95C4AAE-300E-4F69-B133-B49660EA5243}"/>
    <cellStyle name="Normal 5 5 2 2 3 3" xfId="5664" xr:uid="{00000000-0005-0000-0000-0000561B0000}"/>
    <cellStyle name="Normal 5 5 2 2 3 3 2" xfId="14990" xr:uid="{95A08B1D-0E14-4A03-A4F2-1B7EF9BE2B29}"/>
    <cellStyle name="Normal 5 5 2 2 3 4" xfId="10773" xr:uid="{A3D106BE-E3BD-4D75-9898-151E236E5132}"/>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12FE73F1-C011-487C-95F7-E8DB74943232}"/>
    <cellStyle name="Normal 5 5 2 2 4 2 3" xfId="13331" xr:uid="{8BD92F4A-2B32-4FD1-9F2E-985B67D66157}"/>
    <cellStyle name="Normal 5 5 2 2 4 3" xfId="6077" xr:uid="{00000000-0005-0000-0000-00005A1B0000}"/>
    <cellStyle name="Normal 5 5 2 2 4 3 2" xfId="15403" xr:uid="{6DB45F80-A0BF-4917-BBBC-12B40422A4BC}"/>
    <cellStyle name="Normal 5 5 2 2 4 4" xfId="11186" xr:uid="{7D761A03-D021-4E1A-AA1D-F77293C234A4}"/>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1BA19C42-D0C9-4F73-9110-30C15F689E5D}"/>
    <cellStyle name="Normal 5 5 2 2 5 2 3" xfId="13744" xr:uid="{F9D1D0E0-2ADC-4D92-8C08-EF019FAFEAD9}"/>
    <cellStyle name="Normal 5 5 2 2 5 3" xfId="6490" xr:uid="{00000000-0005-0000-0000-00005E1B0000}"/>
    <cellStyle name="Normal 5 5 2 2 5 3 2" xfId="15816" xr:uid="{53A5D38A-5E9F-4229-B209-F6B0926C414F}"/>
    <cellStyle name="Normal 5 5 2 2 5 4" xfId="11599" xr:uid="{3DCFAED9-F77D-4EE5-B40B-3A81BD5B21D2}"/>
    <cellStyle name="Normal 5 5 2 2 6" xfId="2620" xr:uid="{00000000-0005-0000-0000-00005F1B0000}"/>
    <cellStyle name="Normal 5 5 2 2 6 2" xfId="6903" xr:uid="{00000000-0005-0000-0000-0000601B0000}"/>
    <cellStyle name="Normal 5 5 2 2 6 2 2" xfId="16229" xr:uid="{72FFA142-B9F1-4823-8E3A-78C1F83A6B0C}"/>
    <cellStyle name="Normal 5 5 2 2 6 3" xfId="12012" xr:uid="{930E390A-B2CB-4845-9023-026A6B349967}"/>
    <cellStyle name="Normal 5 5 2 2 7" xfId="4838" xr:uid="{00000000-0005-0000-0000-0000611B0000}"/>
    <cellStyle name="Normal 5 5 2 2 7 2" xfId="14164" xr:uid="{234047F1-5775-42BE-B2A5-F2E374D719E9}"/>
    <cellStyle name="Normal 5 5 2 2 8" xfId="9136" xr:uid="{D41453B5-3BE6-4F01-B336-45A274529844}"/>
    <cellStyle name="Normal 5 5 2 2 9" xfId="9947" xr:uid="{683E18A5-0BC8-469B-9F92-66165DA805E1}"/>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CF42E71E-A4BB-4D11-BF3A-73A8F787D2E7}"/>
    <cellStyle name="Normal 5 5 2 3 2 3" xfId="12504" xr:uid="{422153AE-DC1B-4CBD-83E8-D532A7A2F646}"/>
    <cellStyle name="Normal 5 5 2 3 3" xfId="5250" xr:uid="{00000000-0005-0000-0000-0000651B0000}"/>
    <cellStyle name="Normal 5 5 2 3 3 2" xfId="14576" xr:uid="{8661AAC8-0460-451D-85C3-060E39B24F31}"/>
    <cellStyle name="Normal 5 5 2 3 4" xfId="9354" xr:uid="{3251F49D-E700-469D-9840-28045D408641}"/>
    <cellStyle name="Normal 5 5 2 3 5" xfId="10359" xr:uid="{FE4CAB69-E017-4554-8AA8-9F0C44996B7E}"/>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13D2C74B-85BC-4FA9-95BB-7C0E4E04FE69}"/>
    <cellStyle name="Normal 5 5 2 4 2 3" xfId="12917" xr:uid="{C58B2F20-D227-4BB9-BE28-44F71A848CF7}"/>
    <cellStyle name="Normal 5 5 2 4 3" xfId="5663" xr:uid="{00000000-0005-0000-0000-0000691B0000}"/>
    <cellStyle name="Normal 5 5 2 4 3 2" xfId="14989" xr:uid="{52A8B81D-D205-4AC5-AACA-E3D32933729B}"/>
    <cellStyle name="Normal 5 5 2 4 4" xfId="10772" xr:uid="{1376B767-9420-43A5-A944-F0ADD42DA059}"/>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9FA07056-0036-424F-8741-B07C6ED7F5A3}"/>
    <cellStyle name="Normal 5 5 2 5 2 3" xfId="13330" xr:uid="{651111C9-2C09-44E8-BBC9-4F06DE2241EC}"/>
    <cellStyle name="Normal 5 5 2 5 3" xfId="6076" xr:uid="{00000000-0005-0000-0000-00006D1B0000}"/>
    <cellStyle name="Normal 5 5 2 5 3 2" xfId="15402" xr:uid="{9911DE0C-E2AC-4DCE-9185-11A04CF300C5}"/>
    <cellStyle name="Normal 5 5 2 5 4" xfId="11185" xr:uid="{03041A2A-A613-4A0D-9BD4-B60E73E96F22}"/>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D26AD315-9DE3-4DB1-ABB8-18995A0F26F8}"/>
    <cellStyle name="Normal 5 5 2 6 2 3" xfId="13743" xr:uid="{5E44DE30-BFDE-4204-8D7F-B72F49327A19}"/>
    <cellStyle name="Normal 5 5 2 6 3" xfId="6489" xr:uid="{00000000-0005-0000-0000-0000711B0000}"/>
    <cellStyle name="Normal 5 5 2 6 3 2" xfId="15815" xr:uid="{3643FE86-6A03-4DD5-AE3E-DD04B8EB62D3}"/>
    <cellStyle name="Normal 5 5 2 6 4" xfId="11598" xr:uid="{DEEF3D32-057A-4EDD-ACE2-4736AFF04722}"/>
    <cellStyle name="Normal 5 5 2 7" xfId="2619" xr:uid="{00000000-0005-0000-0000-0000721B0000}"/>
    <cellStyle name="Normal 5 5 2 7 2" xfId="6902" xr:uid="{00000000-0005-0000-0000-0000731B0000}"/>
    <cellStyle name="Normal 5 5 2 7 2 2" xfId="16228" xr:uid="{346CBE9C-FA86-49A8-8497-F3CCF72E30C9}"/>
    <cellStyle name="Normal 5 5 2 7 3" xfId="12011" xr:uid="{A1937E4D-0D41-4F08-AACF-9C3CB2E0DFBC}"/>
    <cellStyle name="Normal 5 5 2 8" xfId="4837" xr:uid="{00000000-0005-0000-0000-0000741B0000}"/>
    <cellStyle name="Normal 5 5 2 8 2" xfId="14163" xr:uid="{D3D3B165-61D5-4BD2-9576-F0BFD99DA295}"/>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BB8DAF9E-3F8F-4253-8214-084F59E09922}"/>
    <cellStyle name="Normal 5 5 3 2 2 3" xfId="12506" xr:uid="{17FBE0C4-5D2A-420D-B3E4-94033CF723E3}"/>
    <cellStyle name="Normal 5 5 3 2 3" xfId="5252" xr:uid="{00000000-0005-0000-0000-0000791B0000}"/>
    <cellStyle name="Normal 5 5 3 2 3 2" xfId="14578" xr:uid="{D4B553FD-8F56-4D7C-B0FF-E1AE1F3FAA35}"/>
    <cellStyle name="Normal 5 5 3 2 4" xfId="9458" xr:uid="{8AD16727-CFBF-4DB5-B58F-04D48E2B564D}"/>
    <cellStyle name="Normal 5 5 3 2 5" xfId="10361" xr:uid="{B5D395C8-F118-4533-AEC4-755034DFB96C}"/>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0649A961-0C40-4B20-92C0-90ADD2888EF2}"/>
    <cellStyle name="Normal 5 5 3 3 2 3" xfId="12919" xr:uid="{406E022A-1DC8-417A-997C-86FA2A4EB551}"/>
    <cellStyle name="Normal 5 5 3 3 3" xfId="5665" xr:uid="{00000000-0005-0000-0000-00007D1B0000}"/>
    <cellStyle name="Normal 5 5 3 3 3 2" xfId="14991" xr:uid="{566153B4-0FF8-4ACA-8096-9EA01EA32706}"/>
    <cellStyle name="Normal 5 5 3 3 4" xfId="10774" xr:uid="{B995EB2C-ECE9-4AEF-98A7-841D9C55F7B2}"/>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67590A43-519E-4BD7-B9AE-23214D6D8FC1}"/>
    <cellStyle name="Normal 5 5 3 4 2 3" xfId="13332" xr:uid="{2B904DE8-FF8F-40CD-BED6-AA4C388963B5}"/>
    <cellStyle name="Normal 5 5 3 4 3" xfId="6078" xr:uid="{00000000-0005-0000-0000-0000811B0000}"/>
    <cellStyle name="Normal 5 5 3 4 3 2" xfId="15404" xr:uid="{D9CAC1D4-1511-453C-A27F-4F1DE6134173}"/>
    <cellStyle name="Normal 5 5 3 4 4" xfId="11187" xr:uid="{D042DDEC-7C72-4259-BD10-AE791D207461}"/>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C297D1DD-3557-4D87-A1A2-0C3A2A604022}"/>
    <cellStyle name="Normal 5 5 3 5 2 3" xfId="13745" xr:uid="{30481BAB-A11E-4EBD-A7B8-D6079DCDCDC9}"/>
    <cellStyle name="Normal 5 5 3 5 3" xfId="6491" xr:uid="{00000000-0005-0000-0000-0000851B0000}"/>
    <cellStyle name="Normal 5 5 3 5 3 2" xfId="15817" xr:uid="{F9E0E5DB-9F93-4BE5-AA69-C2ED32D9EB4C}"/>
    <cellStyle name="Normal 5 5 3 5 4" xfId="11600" xr:uid="{8567EB30-708B-49C7-AE72-0FE0482BA7AD}"/>
    <cellStyle name="Normal 5 5 3 6" xfId="2621" xr:uid="{00000000-0005-0000-0000-0000861B0000}"/>
    <cellStyle name="Normal 5 5 3 6 2" xfId="6904" xr:uid="{00000000-0005-0000-0000-0000871B0000}"/>
    <cellStyle name="Normal 5 5 3 6 2 2" xfId="16230" xr:uid="{7F8D164C-343C-47B6-BEC5-CC5B2FA27A48}"/>
    <cellStyle name="Normal 5 5 3 6 3" xfId="12013" xr:uid="{DBAF4777-1AB9-4E07-A9BF-78DBDAE78CF4}"/>
    <cellStyle name="Normal 5 5 3 7" xfId="4839" xr:uid="{00000000-0005-0000-0000-0000881B0000}"/>
    <cellStyle name="Normal 5 5 3 7 2" xfId="14165" xr:uid="{5F947766-DE2A-4BDC-9D99-745B21E6D51C}"/>
    <cellStyle name="Normal 5 5 3 8" xfId="9033" xr:uid="{08F77EF7-8D03-42D9-B538-FE3582C4B971}"/>
    <cellStyle name="Normal 5 5 3 9" xfId="9948" xr:uid="{47BE3972-AF25-41CA-AB41-F89721D0F446}"/>
    <cellStyle name="Normal 5 5 4" xfId="938" xr:uid="{00000000-0005-0000-0000-0000891B0000}"/>
    <cellStyle name="Normal 5 5 4 2" xfId="3172" xr:uid="{00000000-0005-0000-0000-00008A1B0000}"/>
    <cellStyle name="Normal 5 5 4 2 2" xfId="7394" xr:uid="{00000000-0005-0000-0000-00008B1B0000}"/>
    <cellStyle name="Normal 5 5 4 2 2 2" xfId="16720" xr:uid="{183E1670-F5E1-4485-B4FC-7F25E007A8AB}"/>
    <cellStyle name="Normal 5 5 4 2 3" xfId="12503" xr:uid="{A0748BF6-4B18-4319-A03D-6FFA6354EB50}"/>
    <cellStyle name="Normal 5 5 4 3" xfId="5249" xr:uid="{00000000-0005-0000-0000-00008C1B0000}"/>
    <cellStyle name="Normal 5 5 4 3 2" xfId="14575" xr:uid="{16EDE252-6DE6-44EB-A507-4B8E3CBDE8C1}"/>
    <cellStyle name="Normal 5 5 4 4" xfId="9251" xr:uid="{4EAD9E35-D3C9-46BE-AE4D-29A1C6D5A6F7}"/>
    <cellStyle name="Normal 5 5 4 5" xfId="10358" xr:uid="{96B5A0BB-902E-476E-92CC-14D2DEF7D1D2}"/>
    <cellStyle name="Normal 5 5 5" xfId="1355" xr:uid="{00000000-0005-0000-0000-00008D1B0000}"/>
    <cellStyle name="Normal 5 5 5 2" xfId="3585" xr:uid="{00000000-0005-0000-0000-00008E1B0000}"/>
    <cellStyle name="Normal 5 5 5 2 2" xfId="7807" xr:uid="{00000000-0005-0000-0000-00008F1B0000}"/>
    <cellStyle name="Normal 5 5 5 2 2 2" xfId="17133" xr:uid="{EC3365D9-C112-442C-A803-FEEA3569EFF3}"/>
    <cellStyle name="Normal 5 5 5 2 3" xfId="12916" xr:uid="{E74D2624-E99C-4499-997E-592DF83966A8}"/>
    <cellStyle name="Normal 5 5 5 3" xfId="5662" xr:uid="{00000000-0005-0000-0000-0000901B0000}"/>
    <cellStyle name="Normal 5 5 5 3 2" xfId="14988" xr:uid="{68DE1A67-FB70-49E9-964B-29BA19121476}"/>
    <cellStyle name="Normal 5 5 5 4" xfId="10771" xr:uid="{B9F611CB-9A0F-46E0-86D8-70E8BAD46C8F}"/>
    <cellStyle name="Normal 5 5 6" xfId="1768" xr:uid="{00000000-0005-0000-0000-0000911B0000}"/>
    <cellStyle name="Normal 5 5 6 2" xfId="3998" xr:uid="{00000000-0005-0000-0000-0000921B0000}"/>
    <cellStyle name="Normal 5 5 6 2 2" xfId="8220" xr:uid="{00000000-0005-0000-0000-0000931B0000}"/>
    <cellStyle name="Normal 5 5 6 2 2 2" xfId="17546" xr:uid="{85134DED-8000-4EBE-A593-E2CED2BAB01F}"/>
    <cellStyle name="Normal 5 5 6 2 3" xfId="13329" xr:uid="{CF96E83C-6363-475A-A4D4-172805F6CD34}"/>
    <cellStyle name="Normal 5 5 6 3" xfId="6075" xr:uid="{00000000-0005-0000-0000-0000941B0000}"/>
    <cellStyle name="Normal 5 5 6 3 2" xfId="15401" xr:uid="{91BA4F27-174C-4604-A6A3-AA60D3BBB73F}"/>
    <cellStyle name="Normal 5 5 6 4" xfId="11184" xr:uid="{B04D81EC-09DC-4C66-9316-9FBF60C95A09}"/>
    <cellStyle name="Normal 5 5 7" xfId="2182" xr:uid="{00000000-0005-0000-0000-0000951B0000}"/>
    <cellStyle name="Normal 5 5 7 2" xfId="4411" xr:uid="{00000000-0005-0000-0000-0000961B0000}"/>
    <cellStyle name="Normal 5 5 7 2 2" xfId="8633" xr:uid="{00000000-0005-0000-0000-0000971B0000}"/>
    <cellStyle name="Normal 5 5 7 2 2 2" xfId="17959" xr:uid="{6B446738-37CC-4FD2-9441-89C36BF7C34E}"/>
    <cellStyle name="Normal 5 5 7 2 3" xfId="13742" xr:uid="{8916C026-6D6F-4EA8-8AEC-8BB645E0435F}"/>
    <cellStyle name="Normal 5 5 7 3" xfId="6488" xr:uid="{00000000-0005-0000-0000-0000981B0000}"/>
    <cellStyle name="Normal 5 5 7 3 2" xfId="15814" xr:uid="{7FE424B6-680B-4F16-962F-5865F51482E1}"/>
    <cellStyle name="Normal 5 5 7 4" xfId="11597" xr:uid="{918DD459-B959-472B-B388-F4275D6A6434}"/>
    <cellStyle name="Normal 5 5 8" xfId="2618" xr:uid="{00000000-0005-0000-0000-0000991B0000}"/>
    <cellStyle name="Normal 5 5 8 2" xfId="6901" xr:uid="{00000000-0005-0000-0000-00009A1B0000}"/>
    <cellStyle name="Normal 5 5 8 2 2" xfId="16227" xr:uid="{738D6C64-9A61-4763-914F-6B477D9785A9}"/>
    <cellStyle name="Normal 5 5 8 3" xfId="12010" xr:uid="{AEB5EF4C-611A-48B1-B093-048EAEFB2A11}"/>
    <cellStyle name="Normal 5 5 9" xfId="4836" xr:uid="{00000000-0005-0000-0000-00009B1B0000}"/>
    <cellStyle name="Normal 5 5 9 2" xfId="14162" xr:uid="{C992A5B4-123C-469E-AEFC-369420A6B9DC}"/>
    <cellStyle name="Normal 5 6" xfId="468" xr:uid="{00000000-0005-0000-0000-00009C1B0000}"/>
    <cellStyle name="Normal 5 6 10" xfId="9949" xr:uid="{C41EDC53-CC3B-4BD4-9018-D22EF334E805}"/>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B937BF62-0C2D-41D6-8E3B-832E0B4C0564}"/>
    <cellStyle name="Normal 5 6 2 2 2 3" xfId="12508" xr:uid="{B3AD5BA0-BF47-4989-B464-ADC7C865BC17}"/>
    <cellStyle name="Normal 5 6 2 2 3" xfId="5254" xr:uid="{00000000-0005-0000-0000-0000A11B0000}"/>
    <cellStyle name="Normal 5 6 2 2 3 2" xfId="14580" xr:uid="{EA8EE054-0CCD-4CE2-A277-BF9E9C7F4DC7}"/>
    <cellStyle name="Normal 5 6 2 2 4" xfId="9476" xr:uid="{3B3E6CA1-4D97-4B11-99D5-4F82314AA0E0}"/>
    <cellStyle name="Normal 5 6 2 2 5" xfId="10363" xr:uid="{F03CA440-58A0-4219-BF0D-74D04F99B77E}"/>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344A3274-54F5-40CF-B289-F9141F344739}"/>
    <cellStyle name="Normal 5 6 2 3 2 3" xfId="12921" xr:uid="{0597AE92-4067-4506-B5B8-3A727A505F4F}"/>
    <cellStyle name="Normal 5 6 2 3 3" xfId="5667" xr:uid="{00000000-0005-0000-0000-0000A51B0000}"/>
    <cellStyle name="Normal 5 6 2 3 3 2" xfId="14993" xr:uid="{ACE3F6DF-E3CE-4F92-BF29-78F2CA9CA61A}"/>
    <cellStyle name="Normal 5 6 2 3 4" xfId="10776" xr:uid="{7A99A12E-8FA5-4D69-8BFF-809C9E1E124E}"/>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1FBB57F6-7167-4163-B501-DF222B51F359}"/>
    <cellStyle name="Normal 5 6 2 4 2 3" xfId="13334" xr:uid="{1CAC381C-347E-4AC5-B2C3-B8DD1CDCBE44}"/>
    <cellStyle name="Normal 5 6 2 4 3" xfId="6080" xr:uid="{00000000-0005-0000-0000-0000A91B0000}"/>
    <cellStyle name="Normal 5 6 2 4 3 2" xfId="15406" xr:uid="{F0879971-C3AF-44CD-BC84-A2FC59188F46}"/>
    <cellStyle name="Normal 5 6 2 4 4" xfId="11189" xr:uid="{52370B84-E312-4597-A59D-DE51713D9820}"/>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A32500A5-323B-4F9D-A7CB-19C2A822F833}"/>
    <cellStyle name="Normal 5 6 2 5 2 3" xfId="13747" xr:uid="{F9ABE1E6-EB74-49D5-9797-5361B0833CBC}"/>
    <cellStyle name="Normal 5 6 2 5 3" xfId="6493" xr:uid="{00000000-0005-0000-0000-0000AD1B0000}"/>
    <cellStyle name="Normal 5 6 2 5 3 2" xfId="15819" xr:uid="{3D253E9B-54C4-4AD9-ABEE-9875042DBA18}"/>
    <cellStyle name="Normal 5 6 2 5 4" xfId="11602" xr:uid="{F798E570-478B-4D8F-87AA-FBAB08040EC5}"/>
    <cellStyle name="Normal 5 6 2 6" xfId="2623" xr:uid="{00000000-0005-0000-0000-0000AE1B0000}"/>
    <cellStyle name="Normal 5 6 2 6 2" xfId="6906" xr:uid="{00000000-0005-0000-0000-0000AF1B0000}"/>
    <cellStyle name="Normal 5 6 2 6 2 2" xfId="16232" xr:uid="{19CF38C3-93B4-48AE-9B48-95BE53EBA5A8}"/>
    <cellStyle name="Normal 5 6 2 6 3" xfId="12015" xr:uid="{3A283D06-E46E-49A3-AE61-23BE3F84B20E}"/>
    <cellStyle name="Normal 5 6 2 7" xfId="4841" xr:uid="{00000000-0005-0000-0000-0000B01B0000}"/>
    <cellStyle name="Normal 5 6 2 7 2" xfId="14167" xr:uid="{F483D105-A74D-422C-9FB2-466E3F590B6F}"/>
    <cellStyle name="Normal 5 6 2 8" xfId="9051" xr:uid="{97C72229-9AC1-4DA9-8A0B-8B4B6D970DE8}"/>
    <cellStyle name="Normal 5 6 2 9" xfId="9950" xr:uid="{A646B76F-6032-480D-B05E-781630275E7F}"/>
    <cellStyle name="Normal 5 6 3" xfId="942" xr:uid="{00000000-0005-0000-0000-0000B11B0000}"/>
    <cellStyle name="Normal 5 6 3 2" xfId="3176" xr:uid="{00000000-0005-0000-0000-0000B21B0000}"/>
    <cellStyle name="Normal 5 6 3 2 2" xfId="7398" xr:uid="{00000000-0005-0000-0000-0000B31B0000}"/>
    <cellStyle name="Normal 5 6 3 2 2 2" xfId="16724" xr:uid="{0EC4BF40-88DC-40DD-AE43-129B43531786}"/>
    <cellStyle name="Normal 5 6 3 2 3" xfId="12507" xr:uid="{F50BD93F-AA1A-49DB-9824-1EE3D764A17B}"/>
    <cellStyle name="Normal 5 6 3 3" xfId="5253" xr:uid="{00000000-0005-0000-0000-0000B41B0000}"/>
    <cellStyle name="Normal 5 6 3 3 2" xfId="14579" xr:uid="{C00376A9-E18A-4F04-A3B2-A99E0C62E30E}"/>
    <cellStyle name="Normal 5 6 3 4" xfId="9269" xr:uid="{7D6728A0-C210-4F3F-8114-143B9AE0BFB4}"/>
    <cellStyle name="Normal 5 6 3 5" xfId="10362" xr:uid="{7CBFA787-0C48-424C-82B1-957C6848B344}"/>
    <cellStyle name="Normal 5 6 4" xfId="1359" xr:uid="{00000000-0005-0000-0000-0000B51B0000}"/>
    <cellStyle name="Normal 5 6 4 2" xfId="3589" xr:uid="{00000000-0005-0000-0000-0000B61B0000}"/>
    <cellStyle name="Normal 5 6 4 2 2" xfId="7811" xr:uid="{00000000-0005-0000-0000-0000B71B0000}"/>
    <cellStyle name="Normal 5 6 4 2 2 2" xfId="17137" xr:uid="{439C3DAF-F277-4596-A841-8BD9F63C43CA}"/>
    <cellStyle name="Normal 5 6 4 2 3" xfId="12920" xr:uid="{B44A1A0A-8B9F-4AAF-8E0F-62CB7669708C}"/>
    <cellStyle name="Normal 5 6 4 3" xfId="5666" xr:uid="{00000000-0005-0000-0000-0000B81B0000}"/>
    <cellStyle name="Normal 5 6 4 3 2" xfId="14992" xr:uid="{0EA0EEAD-E776-4CD8-A585-B2835296D58E}"/>
    <cellStyle name="Normal 5 6 4 4" xfId="10775" xr:uid="{ABF87D37-CBC9-4615-A73A-37D7FF622381}"/>
    <cellStyle name="Normal 5 6 5" xfId="1772" xr:uid="{00000000-0005-0000-0000-0000B91B0000}"/>
    <cellStyle name="Normal 5 6 5 2" xfId="4002" xr:uid="{00000000-0005-0000-0000-0000BA1B0000}"/>
    <cellStyle name="Normal 5 6 5 2 2" xfId="8224" xr:uid="{00000000-0005-0000-0000-0000BB1B0000}"/>
    <cellStyle name="Normal 5 6 5 2 2 2" xfId="17550" xr:uid="{133BD7BF-BA86-4D38-A05F-FA07618DBACD}"/>
    <cellStyle name="Normal 5 6 5 2 3" xfId="13333" xr:uid="{48ED6DCA-AFDA-46C7-89F9-0FAD852C5295}"/>
    <cellStyle name="Normal 5 6 5 3" xfId="6079" xr:uid="{00000000-0005-0000-0000-0000BC1B0000}"/>
    <cellStyle name="Normal 5 6 5 3 2" xfId="15405" xr:uid="{66FD0EB6-7588-4D43-8FC2-ECE13B97E192}"/>
    <cellStyle name="Normal 5 6 5 4" xfId="11188" xr:uid="{3BF07466-8380-4180-9A3C-31602695BED1}"/>
    <cellStyle name="Normal 5 6 6" xfId="2186" xr:uid="{00000000-0005-0000-0000-0000BD1B0000}"/>
    <cellStyle name="Normal 5 6 6 2" xfId="4415" xr:uid="{00000000-0005-0000-0000-0000BE1B0000}"/>
    <cellStyle name="Normal 5 6 6 2 2" xfId="8637" xr:uid="{00000000-0005-0000-0000-0000BF1B0000}"/>
    <cellStyle name="Normal 5 6 6 2 2 2" xfId="17963" xr:uid="{04DEF793-691E-4427-99B5-9FC8D9DCBDB9}"/>
    <cellStyle name="Normal 5 6 6 2 3" xfId="13746" xr:uid="{D9C0245A-D0C2-47E2-94A4-744B5362806F}"/>
    <cellStyle name="Normal 5 6 6 3" xfId="6492" xr:uid="{00000000-0005-0000-0000-0000C01B0000}"/>
    <cellStyle name="Normal 5 6 6 3 2" xfId="15818" xr:uid="{E51860B5-72BC-429A-B380-87A4533C9739}"/>
    <cellStyle name="Normal 5 6 6 4" xfId="11601" xr:uid="{7FC79A26-98B9-4139-8ADD-A8DD105C6729}"/>
    <cellStyle name="Normal 5 6 7" xfId="2622" xr:uid="{00000000-0005-0000-0000-0000C11B0000}"/>
    <cellStyle name="Normal 5 6 7 2" xfId="6905" xr:uid="{00000000-0005-0000-0000-0000C21B0000}"/>
    <cellStyle name="Normal 5 6 7 2 2" xfId="16231" xr:uid="{C5103934-9938-4546-A958-A43EBA3A6754}"/>
    <cellStyle name="Normal 5 6 7 3" xfId="12014" xr:uid="{37F90ECF-BE77-42B7-8F5C-824411506184}"/>
    <cellStyle name="Normal 5 6 8" xfId="4840" xr:uid="{00000000-0005-0000-0000-0000C31B0000}"/>
    <cellStyle name="Normal 5 6 8 2" xfId="14166" xr:uid="{10CB7251-2D1D-4730-8681-29B7A0A8BCF9}"/>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7DBE41F9-0571-4F5A-9DFD-331A73E6A9C2}"/>
    <cellStyle name="Normal 5 7 2 2 3" xfId="12509" xr:uid="{B3DAD2E2-E2BE-4D70-B912-3D752D0709C6}"/>
    <cellStyle name="Normal 5 7 2 3" xfId="5255" xr:uid="{00000000-0005-0000-0000-0000C81B0000}"/>
    <cellStyle name="Normal 5 7 2 3 2" xfId="14581" xr:uid="{05E577F0-401B-4CA9-8A8E-CCF04CD9B6C4}"/>
    <cellStyle name="Normal 5 7 2 4" xfId="9385" xr:uid="{2E4A3B0A-2E42-41AC-9564-09D1598995A2}"/>
    <cellStyle name="Normal 5 7 2 5" xfId="10364" xr:uid="{D79491E1-DB53-4B23-9126-C4939BCFA8B1}"/>
    <cellStyle name="Normal 5 7 3" xfId="1361" xr:uid="{00000000-0005-0000-0000-0000C91B0000}"/>
    <cellStyle name="Normal 5 7 3 2" xfId="3591" xr:uid="{00000000-0005-0000-0000-0000CA1B0000}"/>
    <cellStyle name="Normal 5 7 3 2 2" xfId="7813" xr:uid="{00000000-0005-0000-0000-0000CB1B0000}"/>
    <cellStyle name="Normal 5 7 3 2 2 2" xfId="17139" xr:uid="{7F43BBD3-05B6-4662-99EE-096BF3656233}"/>
    <cellStyle name="Normal 5 7 3 2 3" xfId="12922" xr:uid="{23B0BFAA-DD2E-4063-A17B-192A7AF3804E}"/>
    <cellStyle name="Normal 5 7 3 3" xfId="5668" xr:uid="{00000000-0005-0000-0000-0000CC1B0000}"/>
    <cellStyle name="Normal 5 7 3 3 2" xfId="14994" xr:uid="{D20E891A-0FB6-4F5F-9D48-65CCE68BBB7C}"/>
    <cellStyle name="Normal 5 7 3 4" xfId="10777" xr:uid="{2D762C0B-98ED-447A-ABFB-AC52D4D64326}"/>
    <cellStyle name="Normal 5 7 4" xfId="1774" xr:uid="{00000000-0005-0000-0000-0000CD1B0000}"/>
    <cellStyle name="Normal 5 7 4 2" xfId="4004" xr:uid="{00000000-0005-0000-0000-0000CE1B0000}"/>
    <cellStyle name="Normal 5 7 4 2 2" xfId="8226" xr:uid="{00000000-0005-0000-0000-0000CF1B0000}"/>
    <cellStyle name="Normal 5 7 4 2 2 2" xfId="17552" xr:uid="{0ED09200-B555-441E-8F47-D6B2373B4C70}"/>
    <cellStyle name="Normal 5 7 4 2 3" xfId="13335" xr:uid="{A0448E91-0F53-4103-9E54-E16879A151B5}"/>
    <cellStyle name="Normal 5 7 4 3" xfId="6081" xr:uid="{00000000-0005-0000-0000-0000D01B0000}"/>
    <cellStyle name="Normal 5 7 4 3 2" xfId="15407" xr:uid="{11AFD444-3181-45D8-B493-9C6CF4EEBAC9}"/>
    <cellStyle name="Normal 5 7 4 4" xfId="11190" xr:uid="{3660DE3A-3E4D-427E-AD7B-77F17A1BBF95}"/>
    <cellStyle name="Normal 5 7 5" xfId="2188" xr:uid="{00000000-0005-0000-0000-0000D11B0000}"/>
    <cellStyle name="Normal 5 7 5 2" xfId="4417" xr:uid="{00000000-0005-0000-0000-0000D21B0000}"/>
    <cellStyle name="Normal 5 7 5 2 2" xfId="8639" xr:uid="{00000000-0005-0000-0000-0000D31B0000}"/>
    <cellStyle name="Normal 5 7 5 2 2 2" xfId="17965" xr:uid="{ADA3BA04-BB18-48CC-8D4B-79B0B25FB895}"/>
    <cellStyle name="Normal 5 7 5 2 3" xfId="13748" xr:uid="{A90AB9C9-B30E-4DCC-BC67-98EB9C009F64}"/>
    <cellStyle name="Normal 5 7 5 3" xfId="6494" xr:uid="{00000000-0005-0000-0000-0000D41B0000}"/>
    <cellStyle name="Normal 5 7 5 3 2" xfId="15820" xr:uid="{98F96CFC-0177-4897-B800-D27C4676B425}"/>
    <cellStyle name="Normal 5 7 5 4" xfId="11603" xr:uid="{E145D41A-EEB2-401F-932C-81158C67CD5F}"/>
    <cellStyle name="Normal 5 7 6" xfId="2624" xr:uid="{00000000-0005-0000-0000-0000D51B0000}"/>
    <cellStyle name="Normal 5 7 6 2" xfId="6907" xr:uid="{00000000-0005-0000-0000-0000D61B0000}"/>
    <cellStyle name="Normal 5 7 6 2 2" xfId="16233" xr:uid="{B434B814-D5A2-40B7-ACB7-C36F97A148D6}"/>
    <cellStyle name="Normal 5 7 6 3" xfId="12016" xr:uid="{AB6437D4-4FEB-4ABF-B891-F573AAF76F0E}"/>
    <cellStyle name="Normal 5 7 7" xfId="4842" xr:uid="{00000000-0005-0000-0000-0000D71B0000}"/>
    <cellStyle name="Normal 5 7 7 2" xfId="14168" xr:uid="{7B1E828C-BDD9-42DF-BDE3-D2ACC619D8F0}"/>
    <cellStyle name="Normal 5 7 8" xfId="8960" xr:uid="{F4BEC964-53C9-4393-B7F1-69B47FC1FF25}"/>
    <cellStyle name="Normal 5 7 9" xfId="9951" xr:uid="{DBDE01B9-DCFF-434B-95C2-530EA217C026}"/>
    <cellStyle name="Normal 5 8" xfId="880" xr:uid="{00000000-0005-0000-0000-0000D81B0000}"/>
    <cellStyle name="Normal 5 8 2" xfId="3115" xr:uid="{00000000-0005-0000-0000-0000D91B0000}"/>
    <cellStyle name="Normal 5 8 2 2" xfId="7337" xr:uid="{00000000-0005-0000-0000-0000DA1B0000}"/>
    <cellStyle name="Normal 5 8 2 2 2" xfId="16663" xr:uid="{4CABC38B-ED66-44E3-B0F3-FE2BD6AEDE5F}"/>
    <cellStyle name="Normal 5 8 2 3" xfId="12446" xr:uid="{78FBC3DD-637B-4293-8904-A5801593FB7F}"/>
    <cellStyle name="Normal 5 8 3" xfId="5192" xr:uid="{00000000-0005-0000-0000-0000DB1B0000}"/>
    <cellStyle name="Normal 5 8 3 2" xfId="14518" xr:uid="{FA5A06A3-823A-4BD4-B123-3C027E83A093}"/>
    <cellStyle name="Normal 5 8 4" xfId="9163" xr:uid="{44C7CAD4-DD7C-48E0-9142-8ED22123C662}"/>
    <cellStyle name="Normal 5 8 5" xfId="10301" xr:uid="{292DCA7A-20AA-415E-992B-D0F4EA264205}"/>
    <cellStyle name="Normal 5 9" xfId="1298" xr:uid="{00000000-0005-0000-0000-0000DC1B0000}"/>
    <cellStyle name="Normal 5 9 2" xfId="3528" xr:uid="{00000000-0005-0000-0000-0000DD1B0000}"/>
    <cellStyle name="Normal 5 9 2 2" xfId="7750" xr:uid="{00000000-0005-0000-0000-0000DE1B0000}"/>
    <cellStyle name="Normal 5 9 2 2 2" xfId="17076" xr:uid="{48D08A7A-CABB-43F5-B534-E714637D25AE}"/>
    <cellStyle name="Normal 5 9 2 3" xfId="12859" xr:uid="{864226F0-E196-4D14-B423-637DCD180D38}"/>
    <cellStyle name="Normal 5 9 3" xfId="5605" xr:uid="{00000000-0005-0000-0000-0000DF1B0000}"/>
    <cellStyle name="Normal 5 9 3 2" xfId="14931" xr:uid="{4A732A81-D389-415C-9994-9A293D20747F}"/>
    <cellStyle name="Normal 5 9 4" xfId="10714" xr:uid="{46F8AD82-8174-4770-8CA2-F48F27D41562}"/>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A7E848CB-542E-432A-9D9A-C3A8C8152AB8}"/>
    <cellStyle name="Normal 8 10 2 3" xfId="13749" xr:uid="{95DC02D1-0646-4317-A0D0-98DD3C012034}"/>
    <cellStyle name="Normal 8 10 3" xfId="6495" xr:uid="{00000000-0005-0000-0000-0000EB1B0000}"/>
    <cellStyle name="Normal 8 10 3 2" xfId="15821" xr:uid="{A46563F6-B85D-40E3-87E6-7A0CA7D93A76}"/>
    <cellStyle name="Normal 8 10 4" xfId="11604" xr:uid="{53331077-633B-47E5-ACD8-1E84CFA5E6B1}"/>
    <cellStyle name="Normal 8 11" xfId="2625" xr:uid="{00000000-0005-0000-0000-0000EC1B0000}"/>
    <cellStyle name="Normal 8 11 2" xfId="6908" xr:uid="{00000000-0005-0000-0000-0000ED1B0000}"/>
    <cellStyle name="Normal 8 11 2 2" xfId="16234" xr:uid="{7D60EBA5-7294-49FC-A625-3DCE4753C9FE}"/>
    <cellStyle name="Normal 8 11 3" xfId="12017" xr:uid="{A74A88A2-3964-494F-8C98-8042F58D10C4}"/>
    <cellStyle name="Normal 8 12" xfId="4843" xr:uid="{00000000-0005-0000-0000-0000EE1B0000}"/>
    <cellStyle name="Normal 8 12 2" xfId="14169" xr:uid="{83E7BDE7-CEDC-4CD1-8E2D-6422857D5245}"/>
    <cellStyle name="Normal 8 13" xfId="8742" xr:uid="{AF36CBBC-3EEB-4AC8-923B-65C7C2418AB0}"/>
    <cellStyle name="Normal 8 14" xfId="9952" xr:uid="{D50210CB-BD1F-4E39-98BC-0E342E92EC9E}"/>
    <cellStyle name="Normal 8 2" xfId="479" xr:uid="{00000000-0005-0000-0000-0000EF1B0000}"/>
    <cellStyle name="Normal 8 2 10" xfId="2626" xr:uid="{00000000-0005-0000-0000-0000F01B0000}"/>
    <cellStyle name="Normal 8 2 10 2" xfId="6909" xr:uid="{00000000-0005-0000-0000-0000F11B0000}"/>
    <cellStyle name="Normal 8 2 10 2 2" xfId="16235" xr:uid="{354D44F7-93F1-47E3-A280-5ACE18C88280}"/>
    <cellStyle name="Normal 8 2 10 3" xfId="12018" xr:uid="{2BBADC73-4CA3-4918-8B17-3FFA83196570}"/>
    <cellStyle name="Normal 8 2 11" xfId="4844" xr:uid="{00000000-0005-0000-0000-0000F21B0000}"/>
    <cellStyle name="Normal 8 2 11 2" xfId="14170" xr:uid="{E151F395-B78C-40C6-A6D2-2632E7924271}"/>
    <cellStyle name="Normal 8 2 12" xfId="8751" xr:uid="{476D0553-3387-4D9F-B05B-56EC7A36F7A1}"/>
    <cellStyle name="Normal 8 2 13" xfId="9953" xr:uid="{128A07FF-8FB9-49E3-A644-1364F9AC98D2}"/>
    <cellStyle name="Normal 8 2 2" xfId="480" xr:uid="{00000000-0005-0000-0000-0000F31B0000}"/>
    <cellStyle name="Normal 8 2 2 10" xfId="4845" xr:uid="{00000000-0005-0000-0000-0000F41B0000}"/>
    <cellStyle name="Normal 8 2 2 10 2" xfId="14171" xr:uid="{C8E83F1E-066E-4591-B5EE-91B53521ECB3}"/>
    <cellStyle name="Normal 8 2 2 11" xfId="8783" xr:uid="{3C426022-C415-47DA-A8EF-1D6CE72527BD}"/>
    <cellStyle name="Normal 8 2 2 12" xfId="9954" xr:uid="{FEE8A8BB-3B6E-4C00-8233-44831D05314A}"/>
    <cellStyle name="Normal 8 2 2 2" xfId="481" xr:uid="{00000000-0005-0000-0000-0000F51B0000}"/>
    <cellStyle name="Normal 8 2 2 2 10" xfId="8836" xr:uid="{870E50AF-610D-4E0C-BDE0-389D6B32A0FA}"/>
    <cellStyle name="Normal 8 2 2 2 11" xfId="9955" xr:uid="{55401513-0EAE-4C16-808F-B218EC19919C}"/>
    <cellStyle name="Normal 8 2 2 2 2" xfId="482" xr:uid="{00000000-0005-0000-0000-0000F61B0000}"/>
    <cellStyle name="Normal 8 2 2 2 2 10" xfId="9956" xr:uid="{0978D1B6-2C23-4D39-AC9F-1D4FC86926CC}"/>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A8E2122B-8FB7-45A6-9C7A-B57CA4344E9B}"/>
    <cellStyle name="Normal 8 2 2 2 2 2 2 2 3" xfId="12515" xr:uid="{0E66B3F9-59A7-4642-B2AF-14B8497F1E05}"/>
    <cellStyle name="Normal 8 2 2 2 2 2 2 3" xfId="5261" xr:uid="{00000000-0005-0000-0000-0000FB1B0000}"/>
    <cellStyle name="Normal 8 2 2 2 2 2 2 3 2" xfId="14587" xr:uid="{9FBDFE6E-7819-4E34-817A-6D46A2ECBB76}"/>
    <cellStyle name="Normal 8 2 2 2 2 2 2 4" xfId="9571" xr:uid="{B467C179-FE08-45F9-B1E6-E66379D80EBC}"/>
    <cellStyle name="Normal 8 2 2 2 2 2 2 5" xfId="10370" xr:uid="{9A0D7946-B7FE-40EE-B343-906A15B94C0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C4F2850C-6ACA-415F-8D92-1A5A99C100F7}"/>
    <cellStyle name="Normal 8 2 2 2 2 2 3 2 3" xfId="12928" xr:uid="{93D58803-D9B3-4519-8200-AA34C4EEAF21}"/>
    <cellStyle name="Normal 8 2 2 2 2 2 3 3" xfId="5674" xr:uid="{00000000-0005-0000-0000-0000FF1B0000}"/>
    <cellStyle name="Normal 8 2 2 2 2 2 3 3 2" xfId="15000" xr:uid="{7D369BCB-108F-4864-901E-4BA1DE0DA094}"/>
    <cellStyle name="Normal 8 2 2 2 2 2 3 4" xfId="10783" xr:uid="{C6F49BCD-4A81-41AC-B7F5-58CCCA9269DB}"/>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F5D42D51-FD64-4EAF-AA6D-7E2B509D68CA}"/>
    <cellStyle name="Normal 8 2 2 2 2 2 4 2 3" xfId="13341" xr:uid="{EE39C1BD-8A36-4CBF-AC7B-E2E26798B086}"/>
    <cellStyle name="Normal 8 2 2 2 2 2 4 3" xfId="6087" xr:uid="{00000000-0005-0000-0000-0000031C0000}"/>
    <cellStyle name="Normal 8 2 2 2 2 2 4 3 2" xfId="15413" xr:uid="{7597862D-0904-481E-B8DC-B56E21F2928E}"/>
    <cellStyle name="Normal 8 2 2 2 2 2 4 4" xfId="11196" xr:uid="{0A8ED6EC-BF6B-455E-9F7D-6A5A60A9684B}"/>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C86F7BC2-55C9-4735-BBD5-8FA000CF7F91}"/>
    <cellStyle name="Normal 8 2 2 2 2 2 5 2 3" xfId="13754" xr:uid="{304F6DA1-CF2E-4362-B1F1-01A53ACD988B}"/>
    <cellStyle name="Normal 8 2 2 2 2 2 5 3" xfId="6500" xr:uid="{00000000-0005-0000-0000-0000071C0000}"/>
    <cellStyle name="Normal 8 2 2 2 2 2 5 3 2" xfId="15826" xr:uid="{4DDB4256-CF58-4DF8-B81C-DAAD91D52D9E}"/>
    <cellStyle name="Normal 8 2 2 2 2 2 5 4" xfId="11609" xr:uid="{9F6B5C16-5862-4825-A76D-D44F6F177B00}"/>
    <cellStyle name="Normal 8 2 2 2 2 2 6" xfId="2630" xr:uid="{00000000-0005-0000-0000-0000081C0000}"/>
    <cellStyle name="Normal 8 2 2 2 2 2 6 2" xfId="6913" xr:uid="{00000000-0005-0000-0000-0000091C0000}"/>
    <cellStyle name="Normal 8 2 2 2 2 2 6 2 2" xfId="16239" xr:uid="{7A6568C3-1790-458D-91A5-D5AD82A0031D}"/>
    <cellStyle name="Normal 8 2 2 2 2 2 6 3" xfId="12022" xr:uid="{8227C75A-AC1D-4B78-8972-DFE1AE79A4DB}"/>
    <cellStyle name="Normal 8 2 2 2 2 2 7" xfId="4848" xr:uid="{00000000-0005-0000-0000-00000A1C0000}"/>
    <cellStyle name="Normal 8 2 2 2 2 2 7 2" xfId="14174" xr:uid="{09356898-1DC6-41F4-B246-8E0DF8CACA43}"/>
    <cellStyle name="Normal 8 2 2 2 2 2 8" xfId="9146" xr:uid="{0E570703-055D-406D-8BD9-575AF6037A75}"/>
    <cellStyle name="Normal 8 2 2 2 2 2 9" xfId="9957" xr:uid="{56270520-BD92-4AF4-B6AD-906D530D735D}"/>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D1695985-D21C-4413-82CF-80630D9C45ED}"/>
    <cellStyle name="Normal 8 2 2 2 2 3 2 3" xfId="12514" xr:uid="{AD62EE14-CD73-4243-80B3-1CF19F64BFD8}"/>
    <cellStyle name="Normal 8 2 2 2 2 3 3" xfId="5260" xr:uid="{00000000-0005-0000-0000-00000E1C0000}"/>
    <cellStyle name="Normal 8 2 2 2 2 3 3 2" xfId="14586" xr:uid="{EF8813CD-EFA7-40B3-8CEC-9DC815302507}"/>
    <cellStyle name="Normal 8 2 2 2 2 3 4" xfId="9364" xr:uid="{21426B7C-FC96-483C-B560-AC4767107497}"/>
    <cellStyle name="Normal 8 2 2 2 2 3 5" xfId="10369" xr:uid="{1FE44EB8-4493-48E1-9B9E-34FE609CC2C5}"/>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5AF37EBD-C7F5-4F76-8B25-8808F2E56D36}"/>
    <cellStyle name="Normal 8 2 2 2 2 4 2 3" xfId="12927" xr:uid="{2385BA2C-5B06-40ED-AC8E-5A743A115B70}"/>
    <cellStyle name="Normal 8 2 2 2 2 4 3" xfId="5673" xr:uid="{00000000-0005-0000-0000-0000121C0000}"/>
    <cellStyle name="Normal 8 2 2 2 2 4 3 2" xfId="14999" xr:uid="{1C5A8972-E70E-4CE9-A064-FAC06F6BFA2A}"/>
    <cellStyle name="Normal 8 2 2 2 2 4 4" xfId="10782" xr:uid="{F72C3A85-563F-4C77-8186-CE3A32C07AC3}"/>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15B71216-CBA9-4F0E-882C-984F040E461A}"/>
    <cellStyle name="Normal 8 2 2 2 2 5 2 3" xfId="13340" xr:uid="{3EDEB8E1-EF35-4AFE-A7B9-70D59B267D5B}"/>
    <cellStyle name="Normal 8 2 2 2 2 5 3" xfId="6086" xr:uid="{00000000-0005-0000-0000-0000161C0000}"/>
    <cellStyle name="Normal 8 2 2 2 2 5 3 2" xfId="15412" xr:uid="{08E9B9E8-0D82-40F5-9E85-B923C772C089}"/>
    <cellStyle name="Normal 8 2 2 2 2 5 4" xfId="11195" xr:uid="{931C4299-7C93-4033-AF04-71FC16A7CFD1}"/>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C394EC5B-FBA7-475F-96C0-2A6FED51707A}"/>
    <cellStyle name="Normal 8 2 2 2 2 6 2 3" xfId="13753" xr:uid="{670D9C3C-9A25-4101-90AE-242BB5385873}"/>
    <cellStyle name="Normal 8 2 2 2 2 6 3" xfId="6499" xr:uid="{00000000-0005-0000-0000-00001A1C0000}"/>
    <cellStyle name="Normal 8 2 2 2 2 6 3 2" xfId="15825" xr:uid="{175AC7AB-4ADF-49D7-825A-E3FCC27A080F}"/>
    <cellStyle name="Normal 8 2 2 2 2 6 4" xfId="11608" xr:uid="{153837D0-6D91-4330-BF46-5EF6E3DFCAF7}"/>
    <cellStyle name="Normal 8 2 2 2 2 7" xfId="2629" xr:uid="{00000000-0005-0000-0000-00001B1C0000}"/>
    <cellStyle name="Normal 8 2 2 2 2 7 2" xfId="6912" xr:uid="{00000000-0005-0000-0000-00001C1C0000}"/>
    <cellStyle name="Normal 8 2 2 2 2 7 2 2" xfId="16238" xr:uid="{1C3A22BB-A91A-4A3E-A37F-DB938F4BD3A2}"/>
    <cellStyle name="Normal 8 2 2 2 2 7 3" xfId="12021" xr:uid="{40287D1F-8541-433F-A597-FABFE9174980}"/>
    <cellStyle name="Normal 8 2 2 2 2 8" xfId="4847" xr:uid="{00000000-0005-0000-0000-00001D1C0000}"/>
    <cellStyle name="Normal 8 2 2 2 2 8 2" xfId="14173" xr:uid="{1A59D61C-4D7D-4698-B28A-C4FE3194F0CF}"/>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EBA125CC-81E4-4B9A-965E-D382D5C21537}"/>
    <cellStyle name="Normal 8 2 2 2 3 2 2 3" xfId="12516" xr:uid="{300D6115-C206-42EC-93B2-07E7B67D0D3F}"/>
    <cellStyle name="Normal 8 2 2 2 3 2 3" xfId="5262" xr:uid="{00000000-0005-0000-0000-0000221C0000}"/>
    <cellStyle name="Normal 8 2 2 2 3 2 3 2" xfId="14588" xr:uid="{39623BCD-B84E-440F-A1EA-4B798C2A0FC3}"/>
    <cellStyle name="Normal 8 2 2 2 3 2 4" xfId="9468" xr:uid="{8CC4AD0E-72B4-4935-8967-B171D7B5EF8D}"/>
    <cellStyle name="Normal 8 2 2 2 3 2 5" xfId="10371" xr:uid="{22089FC8-676F-4420-B357-3E5453ED91E9}"/>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DB075979-1436-4469-AD57-358A05419612}"/>
    <cellStyle name="Normal 8 2 2 2 3 3 2 3" xfId="12929" xr:uid="{AF90CC95-4480-406F-B9FD-A6F610239DB4}"/>
    <cellStyle name="Normal 8 2 2 2 3 3 3" xfId="5675" xr:uid="{00000000-0005-0000-0000-0000261C0000}"/>
    <cellStyle name="Normal 8 2 2 2 3 3 3 2" xfId="15001" xr:uid="{109A78A4-202C-4F60-9E04-5E59D622905E}"/>
    <cellStyle name="Normal 8 2 2 2 3 3 4" xfId="10784" xr:uid="{A39897F3-1624-4265-ABB8-241927964D83}"/>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DF4EAB3D-7EA5-4997-8C25-BBDF928FC153}"/>
    <cellStyle name="Normal 8 2 2 2 3 4 2 3" xfId="13342" xr:uid="{721E2B33-EFEB-485A-A393-1A820B5D01A4}"/>
    <cellStyle name="Normal 8 2 2 2 3 4 3" xfId="6088" xr:uid="{00000000-0005-0000-0000-00002A1C0000}"/>
    <cellStyle name="Normal 8 2 2 2 3 4 3 2" xfId="15414" xr:uid="{67408E3D-A41A-4480-B07E-801F94488DAF}"/>
    <cellStyle name="Normal 8 2 2 2 3 4 4" xfId="11197" xr:uid="{FB2831BE-E367-4964-A870-83732EE59F48}"/>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2DAC3CC0-E3A1-4ED1-B9B0-38BB297749BD}"/>
    <cellStyle name="Normal 8 2 2 2 3 5 2 3" xfId="13755" xr:uid="{28AEDCA4-B16F-4B1E-BC6C-7D16643CEB0A}"/>
    <cellStyle name="Normal 8 2 2 2 3 5 3" xfId="6501" xr:uid="{00000000-0005-0000-0000-00002E1C0000}"/>
    <cellStyle name="Normal 8 2 2 2 3 5 3 2" xfId="15827" xr:uid="{12A33CE4-64DC-4E1D-A457-EEC62182E7D9}"/>
    <cellStyle name="Normal 8 2 2 2 3 5 4" xfId="11610" xr:uid="{279C3955-232D-4FF7-ABE9-218B18836B6C}"/>
    <cellStyle name="Normal 8 2 2 2 3 6" xfId="2631" xr:uid="{00000000-0005-0000-0000-00002F1C0000}"/>
    <cellStyle name="Normal 8 2 2 2 3 6 2" xfId="6914" xr:uid="{00000000-0005-0000-0000-0000301C0000}"/>
    <cellStyle name="Normal 8 2 2 2 3 6 2 2" xfId="16240" xr:uid="{8167FAB2-B71D-459C-AB04-8AFB0E932057}"/>
    <cellStyle name="Normal 8 2 2 2 3 6 3" xfId="12023" xr:uid="{45707D03-A5EB-429D-A014-9554DFC27C4D}"/>
    <cellStyle name="Normal 8 2 2 2 3 7" xfId="4849" xr:uid="{00000000-0005-0000-0000-0000311C0000}"/>
    <cellStyle name="Normal 8 2 2 2 3 7 2" xfId="14175" xr:uid="{66ABE108-8441-4540-8069-923C933C6C5F}"/>
    <cellStyle name="Normal 8 2 2 2 3 8" xfId="9043" xr:uid="{BAC463DF-40A7-4F07-ADD3-7274E57F505C}"/>
    <cellStyle name="Normal 8 2 2 2 3 9" xfId="9958" xr:uid="{82B75739-33FD-438F-8EBC-4070ADC56556}"/>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A62EF131-FE74-441A-970C-7F7EF758DB80}"/>
    <cellStyle name="Normal 8 2 2 2 4 2 3" xfId="12513" xr:uid="{6FEE3A3B-A0F0-4D7D-B659-A94F22E4B18C}"/>
    <cellStyle name="Normal 8 2 2 2 4 3" xfId="5259" xr:uid="{00000000-0005-0000-0000-0000351C0000}"/>
    <cellStyle name="Normal 8 2 2 2 4 3 2" xfId="14585" xr:uid="{DE067445-B54E-452F-BC52-A9E230182C42}"/>
    <cellStyle name="Normal 8 2 2 2 4 4" xfId="9261" xr:uid="{70C29865-A6DE-4682-9EB1-83E4E07FD0A7}"/>
    <cellStyle name="Normal 8 2 2 2 4 5" xfId="10368" xr:uid="{015C30DF-5FC2-45A8-9647-0EC0D9769300}"/>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21C304D5-E5FF-4BA2-AC5C-C0057511D91E}"/>
    <cellStyle name="Normal 8 2 2 2 5 2 3" xfId="12926" xr:uid="{57672E73-939D-454B-87C0-DA3141389A66}"/>
    <cellStyle name="Normal 8 2 2 2 5 3" xfId="5672" xr:uid="{00000000-0005-0000-0000-0000391C0000}"/>
    <cellStyle name="Normal 8 2 2 2 5 3 2" xfId="14998" xr:uid="{A6C606A2-9DCC-4E42-B321-ADF8DB29C00F}"/>
    <cellStyle name="Normal 8 2 2 2 5 4" xfId="10781" xr:uid="{C99CEB38-F324-4F30-BCA7-89440BA9A13E}"/>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5B940DC6-05AE-47BE-A0B0-8739A76F5322}"/>
    <cellStyle name="Normal 8 2 2 2 6 2 3" xfId="13339" xr:uid="{4C42E8B8-38C7-43DB-84F8-C9C2BEA1BE64}"/>
    <cellStyle name="Normal 8 2 2 2 6 3" xfId="6085" xr:uid="{00000000-0005-0000-0000-00003D1C0000}"/>
    <cellStyle name="Normal 8 2 2 2 6 3 2" xfId="15411" xr:uid="{6677A892-A9CC-4804-9B27-F1AE4B5547BC}"/>
    <cellStyle name="Normal 8 2 2 2 6 4" xfId="11194" xr:uid="{8F14EEDA-4DDB-4BF5-9473-3D36E1155DA1}"/>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EE013420-2358-43DA-B519-1D6958EF7E49}"/>
    <cellStyle name="Normal 8 2 2 2 7 2 3" xfId="13752" xr:uid="{612711EA-8401-4AC0-8E4F-909A761B711F}"/>
    <cellStyle name="Normal 8 2 2 2 7 3" xfId="6498" xr:uid="{00000000-0005-0000-0000-0000411C0000}"/>
    <cellStyle name="Normal 8 2 2 2 7 3 2" xfId="15824" xr:uid="{DFE4A54A-B0A2-4836-8E11-F2CC76E5D453}"/>
    <cellStyle name="Normal 8 2 2 2 7 4" xfId="11607" xr:uid="{8B35ECFE-6E3B-4C45-86C7-536F13F2B840}"/>
    <cellStyle name="Normal 8 2 2 2 8" xfId="2628" xr:uid="{00000000-0005-0000-0000-0000421C0000}"/>
    <cellStyle name="Normal 8 2 2 2 8 2" xfId="6911" xr:uid="{00000000-0005-0000-0000-0000431C0000}"/>
    <cellStyle name="Normal 8 2 2 2 8 2 2" xfId="16237" xr:uid="{E376B073-64AB-41C6-8D6A-2189DA4C3BC4}"/>
    <cellStyle name="Normal 8 2 2 2 8 3" xfId="12020" xr:uid="{ED6982A5-0B4B-408C-B3B4-CC8288BE9EF6}"/>
    <cellStyle name="Normal 8 2 2 2 9" xfId="4846" xr:uid="{00000000-0005-0000-0000-0000441C0000}"/>
    <cellStyle name="Normal 8 2 2 2 9 2" xfId="14172" xr:uid="{A500FD7D-ED5B-4A2A-BE17-C8D9BEFDE1DB}"/>
    <cellStyle name="Normal 8 2 2 3" xfId="485" xr:uid="{00000000-0005-0000-0000-0000451C0000}"/>
    <cellStyle name="Normal 8 2 2 3 10" xfId="9959" xr:uid="{2D9C4176-417A-463A-A429-097D441786F4}"/>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2B34CADB-3CB6-42D2-B56B-7F16A2F31D4B}"/>
    <cellStyle name="Normal 8 2 2 3 2 2 2 3" xfId="12518" xr:uid="{21D887A9-0F9C-4AFC-BCE8-E8411A17C68A}"/>
    <cellStyle name="Normal 8 2 2 3 2 2 3" xfId="5264" xr:uid="{00000000-0005-0000-0000-00004A1C0000}"/>
    <cellStyle name="Normal 8 2 2 3 2 2 3 2" xfId="14590" xr:uid="{44CFFA21-CA5B-424C-A9D9-196A6375E4FE}"/>
    <cellStyle name="Normal 8 2 2 3 2 2 4" xfId="9518" xr:uid="{FDE93D5E-A6D1-456B-8726-FC2AB8FD16A4}"/>
    <cellStyle name="Normal 8 2 2 3 2 2 5" xfId="10373" xr:uid="{DE3463AC-B66E-43F2-81C6-1599F02D0499}"/>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E2898E39-7EBC-47D6-B27E-DA09CCDCFD2A}"/>
    <cellStyle name="Normal 8 2 2 3 2 3 2 3" xfId="12931" xr:uid="{984A172A-893E-4EE0-B265-539A036B1634}"/>
    <cellStyle name="Normal 8 2 2 3 2 3 3" xfId="5677" xr:uid="{00000000-0005-0000-0000-00004E1C0000}"/>
    <cellStyle name="Normal 8 2 2 3 2 3 3 2" xfId="15003" xr:uid="{6F609B1D-3B91-42BC-AA44-85C152F53076}"/>
    <cellStyle name="Normal 8 2 2 3 2 3 4" xfId="10786" xr:uid="{70AB8EA8-306D-41F1-BEAF-14B735FB3FC6}"/>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543FEC92-9A52-4D1D-8ADB-142451BBED81}"/>
    <cellStyle name="Normal 8 2 2 3 2 4 2 3" xfId="13344" xr:uid="{81849445-8D92-4954-86FA-2D6F3FA44BDC}"/>
    <cellStyle name="Normal 8 2 2 3 2 4 3" xfId="6090" xr:uid="{00000000-0005-0000-0000-0000521C0000}"/>
    <cellStyle name="Normal 8 2 2 3 2 4 3 2" xfId="15416" xr:uid="{A1BD984C-01C8-4DE0-BF74-7C2FA0F81E95}"/>
    <cellStyle name="Normal 8 2 2 3 2 4 4" xfId="11199" xr:uid="{160A3C6E-DE51-42C2-A7C9-982853D23AA5}"/>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25FA9AE1-5AB2-4896-BE6C-4EAC2F7952B1}"/>
    <cellStyle name="Normal 8 2 2 3 2 5 2 3" xfId="13757" xr:uid="{8325F2CC-1C21-4D07-B022-E23C11CC8822}"/>
    <cellStyle name="Normal 8 2 2 3 2 5 3" xfId="6503" xr:uid="{00000000-0005-0000-0000-0000561C0000}"/>
    <cellStyle name="Normal 8 2 2 3 2 5 3 2" xfId="15829" xr:uid="{AC5CE847-0208-4D27-B519-3EC016731D94}"/>
    <cellStyle name="Normal 8 2 2 3 2 5 4" xfId="11612" xr:uid="{33E72704-488C-4371-A11E-C737D8F3662A}"/>
    <cellStyle name="Normal 8 2 2 3 2 6" xfId="2633" xr:uid="{00000000-0005-0000-0000-0000571C0000}"/>
    <cellStyle name="Normal 8 2 2 3 2 6 2" xfId="6916" xr:uid="{00000000-0005-0000-0000-0000581C0000}"/>
    <cellStyle name="Normal 8 2 2 3 2 6 2 2" xfId="16242" xr:uid="{EDA897DC-72CC-4FFA-8D3D-DB612A066DD3}"/>
    <cellStyle name="Normal 8 2 2 3 2 6 3" xfId="12025" xr:uid="{596755B5-64F3-493B-BFCE-DA23B1BF539D}"/>
    <cellStyle name="Normal 8 2 2 3 2 7" xfId="4851" xr:uid="{00000000-0005-0000-0000-0000591C0000}"/>
    <cellStyle name="Normal 8 2 2 3 2 7 2" xfId="14177" xr:uid="{BFB8509A-A656-49FC-BF63-15D9D962541F}"/>
    <cellStyle name="Normal 8 2 2 3 2 8" xfId="9093" xr:uid="{ADE34C72-BCCB-477C-B66A-BE7159CEB281}"/>
    <cellStyle name="Normal 8 2 2 3 2 9" xfId="9960" xr:uid="{B7D4707A-7B80-4B68-8BE4-767CBCC1F27F}"/>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CCA5E247-382C-499B-88CC-EB0468E9A724}"/>
    <cellStyle name="Normal 8 2 2 3 3 2 3" xfId="12517" xr:uid="{D2913F1F-60E1-4C6C-9EFF-BF10ACDA2410}"/>
    <cellStyle name="Normal 8 2 2 3 3 3" xfId="5263" xr:uid="{00000000-0005-0000-0000-00005D1C0000}"/>
    <cellStyle name="Normal 8 2 2 3 3 3 2" xfId="14589" xr:uid="{712798B9-0F12-43C3-ACBE-1D88405CE9C8}"/>
    <cellStyle name="Normal 8 2 2 3 3 4" xfId="9311" xr:uid="{F4618F1E-1235-4269-B5C6-B09BE5034F6C}"/>
    <cellStyle name="Normal 8 2 2 3 3 5" xfId="10372" xr:uid="{2A0BB422-D6CC-4C50-B02D-7BE1F6C2CDF2}"/>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1A056395-C7A7-45AA-9DD2-8240B782BC1B}"/>
    <cellStyle name="Normal 8 2 2 3 4 2 3" xfId="12930" xr:uid="{4C5D5897-920B-473F-A349-3932DC5B8803}"/>
    <cellStyle name="Normal 8 2 2 3 4 3" xfId="5676" xr:uid="{00000000-0005-0000-0000-0000611C0000}"/>
    <cellStyle name="Normal 8 2 2 3 4 3 2" xfId="15002" xr:uid="{DC3C641B-012D-4BE1-A377-013CDC05C78E}"/>
    <cellStyle name="Normal 8 2 2 3 4 4" xfId="10785" xr:uid="{5B3E49C6-5F88-4F21-A7B8-08BDFB5A410E}"/>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334C15F8-BCC1-46A7-B982-929D6FE2005E}"/>
    <cellStyle name="Normal 8 2 2 3 5 2 3" xfId="13343" xr:uid="{15B0D75D-0D27-49A1-AFAA-6A31CB751817}"/>
    <cellStyle name="Normal 8 2 2 3 5 3" xfId="6089" xr:uid="{00000000-0005-0000-0000-0000651C0000}"/>
    <cellStyle name="Normal 8 2 2 3 5 3 2" xfId="15415" xr:uid="{5E59A8E0-3A63-47B8-AB47-C6D6A44723B5}"/>
    <cellStyle name="Normal 8 2 2 3 5 4" xfId="11198" xr:uid="{014D0CF6-B875-45D6-B2AA-B4C8DD133A69}"/>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72D06C53-A7D0-47A5-9769-E68C94D97476}"/>
    <cellStyle name="Normal 8 2 2 3 6 2 3" xfId="13756" xr:uid="{48F88E05-5D11-4874-BD95-4F2BFC268461}"/>
    <cellStyle name="Normal 8 2 2 3 6 3" xfId="6502" xr:uid="{00000000-0005-0000-0000-0000691C0000}"/>
    <cellStyle name="Normal 8 2 2 3 6 3 2" xfId="15828" xr:uid="{A9CB6782-D933-474D-B27F-B5558E2F5E38}"/>
    <cellStyle name="Normal 8 2 2 3 6 4" xfId="11611" xr:uid="{677868C4-821E-4BD8-872A-26BE2CC0739B}"/>
    <cellStyle name="Normal 8 2 2 3 7" xfId="2632" xr:uid="{00000000-0005-0000-0000-00006A1C0000}"/>
    <cellStyle name="Normal 8 2 2 3 7 2" xfId="6915" xr:uid="{00000000-0005-0000-0000-00006B1C0000}"/>
    <cellStyle name="Normal 8 2 2 3 7 2 2" xfId="16241" xr:uid="{03124F5D-3827-458D-9EC2-5BAF3F8D1473}"/>
    <cellStyle name="Normal 8 2 2 3 7 3" xfId="12024" xr:uid="{541325E2-93EF-4877-BB58-F63E78AA273B}"/>
    <cellStyle name="Normal 8 2 2 3 8" xfId="4850" xr:uid="{00000000-0005-0000-0000-00006C1C0000}"/>
    <cellStyle name="Normal 8 2 2 3 8 2" xfId="14176" xr:uid="{C2C0DA6A-BE56-45AC-A2C0-C7AD09A7D35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0AD2880B-64E1-4F55-B8B6-EF500F42D8DE}"/>
    <cellStyle name="Normal 8 2 2 4 2 2 3" xfId="12519" xr:uid="{0E60A6C2-64B0-4877-A417-F199A5B0374F}"/>
    <cellStyle name="Normal 8 2 2 4 2 3" xfId="5265" xr:uid="{00000000-0005-0000-0000-0000711C0000}"/>
    <cellStyle name="Normal 8 2 2 4 2 3 2" xfId="14591" xr:uid="{B9A75350-1601-4996-ACF9-2CFF53DBD210}"/>
    <cellStyle name="Normal 8 2 2 4 2 4" xfId="9415" xr:uid="{88D7FF95-DEA9-4369-BE01-487FC7B2B7E8}"/>
    <cellStyle name="Normal 8 2 2 4 2 5" xfId="10374" xr:uid="{A8D2A5B4-1C62-4BA2-9B99-2CB48BC8D8F1}"/>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F8C29E82-07CC-44AF-8948-EFEB1BEE66CC}"/>
    <cellStyle name="Normal 8 2 2 4 3 2 3" xfId="12932" xr:uid="{12495628-F304-47C9-84E1-A2C95694A26F}"/>
    <cellStyle name="Normal 8 2 2 4 3 3" xfId="5678" xr:uid="{00000000-0005-0000-0000-0000751C0000}"/>
    <cellStyle name="Normal 8 2 2 4 3 3 2" xfId="15004" xr:uid="{5B06A723-07AB-4BCB-876C-D64685E08A02}"/>
    <cellStyle name="Normal 8 2 2 4 3 4" xfId="10787" xr:uid="{12DF7E21-AB80-4CEB-99DF-E54327398265}"/>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F7020B1B-1FFE-47E5-B7E2-11711DB7E829}"/>
    <cellStyle name="Normal 8 2 2 4 4 2 3" xfId="13345" xr:uid="{F5E13951-9886-406C-8AF3-0B0304958297}"/>
    <cellStyle name="Normal 8 2 2 4 4 3" xfId="6091" xr:uid="{00000000-0005-0000-0000-0000791C0000}"/>
    <cellStyle name="Normal 8 2 2 4 4 3 2" xfId="15417" xr:uid="{26B6EF63-BA4D-4EA9-B4D8-521EB677B0E6}"/>
    <cellStyle name="Normal 8 2 2 4 4 4" xfId="11200" xr:uid="{ED49DD8A-2CEF-478E-977D-AB0240EEF94B}"/>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1A6AAE34-CD53-42D1-B9C9-48D3D222BEC6}"/>
    <cellStyle name="Normal 8 2 2 4 5 2 3" xfId="13758" xr:uid="{B62686E0-7868-40CE-B421-BDADB7A76A41}"/>
    <cellStyle name="Normal 8 2 2 4 5 3" xfId="6504" xr:uid="{00000000-0005-0000-0000-00007D1C0000}"/>
    <cellStyle name="Normal 8 2 2 4 5 3 2" xfId="15830" xr:uid="{8FBF861A-C600-4EFF-A6A0-C4577D22D76F}"/>
    <cellStyle name="Normal 8 2 2 4 5 4" xfId="11613" xr:uid="{BF62282A-414D-4B60-916D-EFE32191F7EA}"/>
    <cellStyle name="Normal 8 2 2 4 6" xfId="2634" xr:uid="{00000000-0005-0000-0000-00007E1C0000}"/>
    <cellStyle name="Normal 8 2 2 4 6 2" xfId="6917" xr:uid="{00000000-0005-0000-0000-00007F1C0000}"/>
    <cellStyle name="Normal 8 2 2 4 6 2 2" xfId="16243" xr:uid="{A76BF119-1413-46EB-9DAB-EDE7EDAA592B}"/>
    <cellStyle name="Normal 8 2 2 4 6 3" xfId="12026" xr:uid="{7A86EBCE-C030-4EF8-95CD-0261BD5BAEEA}"/>
    <cellStyle name="Normal 8 2 2 4 7" xfId="4852" xr:uid="{00000000-0005-0000-0000-0000801C0000}"/>
    <cellStyle name="Normal 8 2 2 4 7 2" xfId="14178" xr:uid="{CDCC855F-07E4-4AFA-9C97-87FFD81351B8}"/>
    <cellStyle name="Normal 8 2 2 4 8" xfId="8990" xr:uid="{F08D85C9-EB04-4227-BEA0-1B51DDB63DFA}"/>
    <cellStyle name="Normal 8 2 2 4 9" xfId="9961" xr:uid="{B67A6CC7-C1CA-402E-A9CD-09A5B4628610}"/>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1FD703D9-3A2D-4F1E-AD74-51E34D0EFEE0}"/>
    <cellStyle name="Normal 8 2 2 5 2 3" xfId="12512" xr:uid="{166727B1-836A-4C49-8378-997D9A4D9361}"/>
    <cellStyle name="Normal 8 2 2 5 3" xfId="5258" xr:uid="{00000000-0005-0000-0000-0000841C0000}"/>
    <cellStyle name="Normal 8 2 2 5 3 2" xfId="14584" xr:uid="{2F871132-5E25-4718-BFED-B8DEF707253B}"/>
    <cellStyle name="Normal 8 2 2 5 4" xfId="9207" xr:uid="{D4CDC4D2-5794-400F-B850-1B259D26C1FE}"/>
    <cellStyle name="Normal 8 2 2 5 5" xfId="10367" xr:uid="{CC2CE03A-B14B-4B7B-93DD-F32E4FE149F8}"/>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AFD90EF3-EAB6-48E0-BBD8-B7AEC4FADE28}"/>
    <cellStyle name="Normal 8 2 2 6 2 3" xfId="12925" xr:uid="{AF2F6F7B-1581-45CD-985B-A80C4D8A6FB6}"/>
    <cellStyle name="Normal 8 2 2 6 3" xfId="5671" xr:uid="{00000000-0005-0000-0000-0000881C0000}"/>
    <cellStyle name="Normal 8 2 2 6 3 2" xfId="14997" xr:uid="{D0AA0027-BC10-40C5-8C46-E72E9B881753}"/>
    <cellStyle name="Normal 8 2 2 6 4" xfId="10780" xr:uid="{08D74BDE-44A5-4C06-8AD2-068B9C88B586}"/>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1ED626B0-B15B-4131-9245-A762E86D3773}"/>
    <cellStyle name="Normal 8 2 2 7 2 3" xfId="13338" xr:uid="{C9F58A44-E67E-4CF8-96C6-3A5148CA7DF0}"/>
    <cellStyle name="Normal 8 2 2 7 3" xfId="6084" xr:uid="{00000000-0005-0000-0000-00008C1C0000}"/>
    <cellStyle name="Normal 8 2 2 7 3 2" xfId="15410" xr:uid="{1E17A928-F7C2-4297-82CE-FE43BE9B5DF9}"/>
    <cellStyle name="Normal 8 2 2 7 4" xfId="11193" xr:uid="{4B5DAC28-805B-485C-8FF4-F6CBB1687C99}"/>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35E877F2-B32F-4A05-A90E-0BC9BEA38FA6}"/>
    <cellStyle name="Normal 8 2 2 8 2 3" xfId="13751" xr:uid="{D2FDAA0F-058D-4386-8A2F-90588D6C97EE}"/>
    <cellStyle name="Normal 8 2 2 8 3" xfId="6497" xr:uid="{00000000-0005-0000-0000-0000901C0000}"/>
    <cellStyle name="Normal 8 2 2 8 3 2" xfId="15823" xr:uid="{44AAEB07-B949-4F1F-91E6-3F21F03CB206}"/>
    <cellStyle name="Normal 8 2 2 8 4" xfId="11606" xr:uid="{F3E85C3F-DFF6-45B0-AFE0-70672259C544}"/>
    <cellStyle name="Normal 8 2 2 9" xfId="2627" xr:uid="{00000000-0005-0000-0000-0000911C0000}"/>
    <cellStyle name="Normal 8 2 2 9 2" xfId="6910" xr:uid="{00000000-0005-0000-0000-0000921C0000}"/>
    <cellStyle name="Normal 8 2 2 9 2 2" xfId="16236" xr:uid="{9C8DB88E-6782-4A78-BC8A-C096FA5EC1A2}"/>
    <cellStyle name="Normal 8 2 2 9 3" xfId="12019" xr:uid="{34A266D3-FC11-4539-8DDA-3A44A58B29F8}"/>
    <cellStyle name="Normal 8 2 3" xfId="488" xr:uid="{00000000-0005-0000-0000-0000931C0000}"/>
    <cellStyle name="Normal 8 2 3 10" xfId="8835" xr:uid="{2F0FB8B3-D08B-41EB-93AB-2D83A1BD6036}"/>
    <cellStyle name="Normal 8 2 3 11" xfId="9962" xr:uid="{1A349A31-2A5B-40E8-A478-1225C1499233}"/>
    <cellStyle name="Normal 8 2 3 2" xfId="489" xr:uid="{00000000-0005-0000-0000-0000941C0000}"/>
    <cellStyle name="Normal 8 2 3 2 10" xfId="9963" xr:uid="{9C626C2F-963C-4285-832E-BB8963E1BDEA}"/>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656D33C3-6D20-40BF-9CBB-56AB6D20862F}"/>
    <cellStyle name="Normal 8 2 3 2 2 2 2 3" xfId="12522" xr:uid="{F72B4DEF-9860-4A40-836F-E1BD1AF7D781}"/>
    <cellStyle name="Normal 8 2 3 2 2 2 3" xfId="5268" xr:uid="{00000000-0005-0000-0000-0000991C0000}"/>
    <cellStyle name="Normal 8 2 3 2 2 2 3 2" xfId="14594" xr:uid="{733CB909-BD1C-428A-A85D-21C31E6ABB16}"/>
    <cellStyle name="Normal 8 2 3 2 2 2 4" xfId="9570" xr:uid="{BA9732E0-D9E4-47DB-882D-D871A821FA55}"/>
    <cellStyle name="Normal 8 2 3 2 2 2 5" xfId="10377" xr:uid="{4F190B82-3E04-4B1A-A4DD-1F3661C91439}"/>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A6B7076E-9589-4C3E-A406-6D2D9841D79E}"/>
    <cellStyle name="Normal 8 2 3 2 2 3 2 3" xfId="12935" xr:uid="{EE50D2E7-B385-45B8-9904-A4AE9C0BFDD4}"/>
    <cellStyle name="Normal 8 2 3 2 2 3 3" xfId="5681" xr:uid="{00000000-0005-0000-0000-00009D1C0000}"/>
    <cellStyle name="Normal 8 2 3 2 2 3 3 2" xfId="15007" xr:uid="{B8C9150D-F142-4322-B40E-8EB44CB520BA}"/>
    <cellStyle name="Normal 8 2 3 2 2 3 4" xfId="10790" xr:uid="{5DD2CB99-6055-471F-B106-AF016A4F682E}"/>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B751D275-CE7B-45D9-A2EB-8DFB9DC45156}"/>
    <cellStyle name="Normal 8 2 3 2 2 4 2 3" xfId="13348" xr:uid="{BCE5DDE0-EC8E-4926-B07A-7BEC4AB5ED01}"/>
    <cellStyle name="Normal 8 2 3 2 2 4 3" xfId="6094" xr:uid="{00000000-0005-0000-0000-0000A11C0000}"/>
    <cellStyle name="Normal 8 2 3 2 2 4 3 2" xfId="15420" xr:uid="{39B16819-7DA9-4461-AA72-AACDC46447C7}"/>
    <cellStyle name="Normal 8 2 3 2 2 4 4" xfId="11203" xr:uid="{D9CC3F7B-DB83-43BA-B26F-01E103869AB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C7666CFE-7560-41D4-859E-BBCA54076E3D}"/>
    <cellStyle name="Normal 8 2 3 2 2 5 2 3" xfId="13761" xr:uid="{6C09AFB3-812C-466A-A7C0-8176C4EDF503}"/>
    <cellStyle name="Normal 8 2 3 2 2 5 3" xfId="6507" xr:uid="{00000000-0005-0000-0000-0000A51C0000}"/>
    <cellStyle name="Normal 8 2 3 2 2 5 3 2" xfId="15833" xr:uid="{487C83F1-F3A0-4D7A-9CC6-F3E42567A385}"/>
    <cellStyle name="Normal 8 2 3 2 2 5 4" xfId="11616" xr:uid="{6E0244AC-6E29-47F7-8AB8-AC67E9DA2811}"/>
    <cellStyle name="Normal 8 2 3 2 2 6" xfId="2637" xr:uid="{00000000-0005-0000-0000-0000A61C0000}"/>
    <cellStyle name="Normal 8 2 3 2 2 6 2" xfId="6920" xr:uid="{00000000-0005-0000-0000-0000A71C0000}"/>
    <cellStyle name="Normal 8 2 3 2 2 6 2 2" xfId="16246" xr:uid="{186A25F2-3B47-4427-802F-C2DC057A1608}"/>
    <cellStyle name="Normal 8 2 3 2 2 6 3" xfId="12029" xr:uid="{5C1E31CF-4A0F-4D8E-B37E-BD5CDEC6BCDF}"/>
    <cellStyle name="Normal 8 2 3 2 2 7" xfId="4855" xr:uid="{00000000-0005-0000-0000-0000A81C0000}"/>
    <cellStyle name="Normal 8 2 3 2 2 7 2" xfId="14181" xr:uid="{296EDD6B-FA73-4D26-B45D-35A3CEB0BEE6}"/>
    <cellStyle name="Normal 8 2 3 2 2 8" xfId="9145" xr:uid="{C71E6005-187D-4837-92B4-619AF06B3A3B}"/>
    <cellStyle name="Normal 8 2 3 2 2 9" xfId="9964" xr:uid="{C355704C-F204-4E02-A83E-3885F4F0F0D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87061539-FCA5-4DAE-B309-169E503C0EF6}"/>
    <cellStyle name="Normal 8 2 3 2 3 2 3" xfId="12521" xr:uid="{2CA9F570-8BDD-4A56-A64F-0CE8BDBAEB3F}"/>
    <cellStyle name="Normal 8 2 3 2 3 3" xfId="5267" xr:uid="{00000000-0005-0000-0000-0000AC1C0000}"/>
    <cellStyle name="Normal 8 2 3 2 3 3 2" xfId="14593" xr:uid="{1DFD49C8-F778-4AC3-AFC9-186138A24335}"/>
    <cellStyle name="Normal 8 2 3 2 3 4" xfId="9363" xr:uid="{C94C6C98-A8BC-4AC9-B084-0D2219E89AA8}"/>
    <cellStyle name="Normal 8 2 3 2 3 5" xfId="10376" xr:uid="{B2E8DB6D-4924-428B-91E7-565DD10EF131}"/>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B7576C7A-3ED8-4AA2-8990-4B598DF6D862}"/>
    <cellStyle name="Normal 8 2 3 2 4 2 3" xfId="12934" xr:uid="{8BEFD633-063B-466A-976B-344FBEA6C4E7}"/>
    <cellStyle name="Normal 8 2 3 2 4 3" xfId="5680" xr:uid="{00000000-0005-0000-0000-0000B01C0000}"/>
    <cellStyle name="Normal 8 2 3 2 4 3 2" xfId="15006" xr:uid="{F7886F1D-E19A-4ED4-A212-33C10C6E5364}"/>
    <cellStyle name="Normal 8 2 3 2 4 4" xfId="10789" xr:uid="{485511DE-3A02-4663-8097-4E7F3BB7F030}"/>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9AE2B1A0-017A-4438-B68B-67712E81D7B4}"/>
    <cellStyle name="Normal 8 2 3 2 5 2 3" xfId="13347" xr:uid="{33DDC405-797C-4F56-961D-8C8CAE7BB69E}"/>
    <cellStyle name="Normal 8 2 3 2 5 3" xfId="6093" xr:uid="{00000000-0005-0000-0000-0000B41C0000}"/>
    <cellStyle name="Normal 8 2 3 2 5 3 2" xfId="15419" xr:uid="{BE7A1C63-7094-48CF-8AFF-4F3A59B99030}"/>
    <cellStyle name="Normal 8 2 3 2 5 4" xfId="11202" xr:uid="{62248D7A-6386-4964-B0A4-5304AF050520}"/>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70F94A36-4835-425E-B0ED-976C8FB19C3D}"/>
    <cellStyle name="Normal 8 2 3 2 6 2 3" xfId="13760" xr:uid="{E4052373-0B93-494D-A16B-A2894113AD40}"/>
    <cellStyle name="Normal 8 2 3 2 6 3" xfId="6506" xr:uid="{00000000-0005-0000-0000-0000B81C0000}"/>
    <cellStyle name="Normal 8 2 3 2 6 3 2" xfId="15832" xr:uid="{0600E51F-782B-40DC-ABF8-45E3DCBB2B1D}"/>
    <cellStyle name="Normal 8 2 3 2 6 4" xfId="11615" xr:uid="{45851770-6628-46B7-AB36-75EDA8C5A2EF}"/>
    <cellStyle name="Normal 8 2 3 2 7" xfId="2636" xr:uid="{00000000-0005-0000-0000-0000B91C0000}"/>
    <cellStyle name="Normal 8 2 3 2 7 2" xfId="6919" xr:uid="{00000000-0005-0000-0000-0000BA1C0000}"/>
    <cellStyle name="Normal 8 2 3 2 7 2 2" xfId="16245" xr:uid="{978EC3FC-8F9C-407C-8FE9-CBFD58AFE910}"/>
    <cellStyle name="Normal 8 2 3 2 7 3" xfId="12028" xr:uid="{8664309F-3EC4-4623-B11A-92E88D8FA843}"/>
    <cellStyle name="Normal 8 2 3 2 8" xfId="4854" xr:uid="{00000000-0005-0000-0000-0000BB1C0000}"/>
    <cellStyle name="Normal 8 2 3 2 8 2" xfId="14180" xr:uid="{E60A9DBC-5745-46DC-B83A-0156AB2B5A64}"/>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7D7C9155-F7DA-4420-907A-015C87EC6D6F}"/>
    <cellStyle name="Normal 8 2 3 3 2 2 3" xfId="12523" xr:uid="{15669275-32D5-4F7F-A3D3-5783713DA92B}"/>
    <cellStyle name="Normal 8 2 3 3 2 3" xfId="5269" xr:uid="{00000000-0005-0000-0000-0000C01C0000}"/>
    <cellStyle name="Normal 8 2 3 3 2 3 2" xfId="14595" xr:uid="{9C383F12-1734-4312-859E-49F2FD888E9F}"/>
    <cellStyle name="Normal 8 2 3 3 2 4" xfId="9467" xr:uid="{C16001D7-8508-4511-808F-E990F8EA0FE3}"/>
    <cellStyle name="Normal 8 2 3 3 2 5" xfId="10378" xr:uid="{E8293CA4-D6D4-4EFF-AF44-1D6F93C651A2}"/>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5113C2A6-7D78-46BD-9EA6-9B618353BC72}"/>
    <cellStyle name="Normal 8 2 3 3 3 2 3" xfId="12936" xr:uid="{CF4A83B0-295D-4FBC-B1E9-DD1405DBDD6E}"/>
    <cellStyle name="Normal 8 2 3 3 3 3" xfId="5682" xr:uid="{00000000-0005-0000-0000-0000C41C0000}"/>
    <cellStyle name="Normal 8 2 3 3 3 3 2" xfId="15008" xr:uid="{0E9EAD9C-CBAC-4EDB-8F3D-82812601D0B0}"/>
    <cellStyle name="Normal 8 2 3 3 3 4" xfId="10791" xr:uid="{EF9D7ABA-7193-471B-9E87-F5B9C48461FC}"/>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CB14AC18-D8F9-423A-BA04-943E06984EB9}"/>
    <cellStyle name="Normal 8 2 3 3 4 2 3" xfId="13349" xr:uid="{FC4EF09C-2B68-4AE6-8A96-BD2945E8842C}"/>
    <cellStyle name="Normal 8 2 3 3 4 3" xfId="6095" xr:uid="{00000000-0005-0000-0000-0000C81C0000}"/>
    <cellStyle name="Normal 8 2 3 3 4 3 2" xfId="15421" xr:uid="{E49BB5AB-8959-4D6B-8BD1-E90D620CF7BD}"/>
    <cellStyle name="Normal 8 2 3 3 4 4" xfId="11204" xr:uid="{BAED0568-8883-4954-85FA-EF52955C5157}"/>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AB3CCCF4-1C31-4953-8A83-E00CEC26876E}"/>
    <cellStyle name="Normal 8 2 3 3 5 2 3" xfId="13762" xr:uid="{29B67592-3296-4AA7-AF9B-8C79389ADC3A}"/>
    <cellStyle name="Normal 8 2 3 3 5 3" xfId="6508" xr:uid="{00000000-0005-0000-0000-0000CC1C0000}"/>
    <cellStyle name="Normal 8 2 3 3 5 3 2" xfId="15834" xr:uid="{0F8D2848-67D7-451F-9E7C-CAC707FD30EE}"/>
    <cellStyle name="Normal 8 2 3 3 5 4" xfId="11617" xr:uid="{E8A855C2-FE52-4321-89D8-B2EF1A07DFEC}"/>
    <cellStyle name="Normal 8 2 3 3 6" xfId="2638" xr:uid="{00000000-0005-0000-0000-0000CD1C0000}"/>
    <cellStyle name="Normal 8 2 3 3 6 2" xfId="6921" xr:uid="{00000000-0005-0000-0000-0000CE1C0000}"/>
    <cellStyle name="Normal 8 2 3 3 6 2 2" xfId="16247" xr:uid="{27C958A9-09E6-4875-BC11-8144A8BBF09B}"/>
    <cellStyle name="Normal 8 2 3 3 6 3" xfId="12030" xr:uid="{FFB09415-88F4-4F15-8062-3139CBF5B749}"/>
    <cellStyle name="Normal 8 2 3 3 7" xfId="4856" xr:uid="{00000000-0005-0000-0000-0000CF1C0000}"/>
    <cellStyle name="Normal 8 2 3 3 7 2" xfId="14182" xr:uid="{9C1EC5B7-7875-4E9F-B3AF-C8648712042C}"/>
    <cellStyle name="Normal 8 2 3 3 8" xfId="9042" xr:uid="{D820ED39-BAB1-48C1-A68D-2017E247E432}"/>
    <cellStyle name="Normal 8 2 3 3 9" xfId="9965" xr:uid="{A6D0B992-B1E1-49DD-9801-E9FD7826A644}"/>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59014594-7A3E-4A68-A2DC-6BBB979F69AC}"/>
    <cellStyle name="Normal 8 2 3 4 2 3" xfId="12520" xr:uid="{4837876D-3859-44D4-9EFA-B091251950A3}"/>
    <cellStyle name="Normal 8 2 3 4 3" xfId="5266" xr:uid="{00000000-0005-0000-0000-0000D31C0000}"/>
    <cellStyle name="Normal 8 2 3 4 3 2" xfId="14592" xr:uid="{8B40A224-087F-4069-8FC5-40323F3E8999}"/>
    <cellStyle name="Normal 8 2 3 4 4" xfId="9260" xr:uid="{70FF5A16-C89A-42B7-A603-E23A7C2F443C}"/>
    <cellStyle name="Normal 8 2 3 4 5" xfId="10375" xr:uid="{0CBF1912-5E8E-498C-A819-37D56B3629B5}"/>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F9F51FEE-006A-468B-B12E-1CA79FB20F23}"/>
    <cellStyle name="Normal 8 2 3 5 2 3" xfId="12933" xr:uid="{822B816F-F90D-47FA-827D-40BD777CA3DF}"/>
    <cellStyle name="Normal 8 2 3 5 3" xfId="5679" xr:uid="{00000000-0005-0000-0000-0000D71C0000}"/>
    <cellStyle name="Normal 8 2 3 5 3 2" xfId="15005" xr:uid="{B829EE22-8A60-44AF-A426-7432FA3BCB84}"/>
    <cellStyle name="Normal 8 2 3 5 4" xfId="10788" xr:uid="{3859BB69-1984-43DF-9895-EE4199ED186D}"/>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077A9922-F5F9-48F7-8BAA-B20652E5C974}"/>
    <cellStyle name="Normal 8 2 3 6 2 3" xfId="13346" xr:uid="{9DA99A26-5C5D-4B43-AAD1-836F81397451}"/>
    <cellStyle name="Normal 8 2 3 6 3" xfId="6092" xr:uid="{00000000-0005-0000-0000-0000DB1C0000}"/>
    <cellStyle name="Normal 8 2 3 6 3 2" xfId="15418" xr:uid="{BF50F608-3CA5-4CA3-9941-9ED439088B99}"/>
    <cellStyle name="Normal 8 2 3 6 4" xfId="11201" xr:uid="{C532679F-C5AE-462C-BC14-5E199D654CF7}"/>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672131A8-944E-418B-91C8-A75EEB7F2B7C}"/>
    <cellStyle name="Normal 8 2 3 7 2 3" xfId="13759" xr:uid="{16120CAF-77DA-4B4F-BCA1-FE0973C8D761}"/>
    <cellStyle name="Normal 8 2 3 7 3" xfId="6505" xr:uid="{00000000-0005-0000-0000-0000DF1C0000}"/>
    <cellStyle name="Normal 8 2 3 7 3 2" xfId="15831" xr:uid="{BC639285-72BD-480D-841E-280843CDED10}"/>
    <cellStyle name="Normal 8 2 3 7 4" xfId="11614" xr:uid="{EB84AAB4-FEAC-42C6-AB61-799957FABF60}"/>
    <cellStyle name="Normal 8 2 3 8" xfId="2635" xr:uid="{00000000-0005-0000-0000-0000E01C0000}"/>
    <cellStyle name="Normal 8 2 3 8 2" xfId="6918" xr:uid="{00000000-0005-0000-0000-0000E11C0000}"/>
    <cellStyle name="Normal 8 2 3 8 2 2" xfId="16244" xr:uid="{F2B00891-FA96-4048-8A02-4CBC1B5175B4}"/>
    <cellStyle name="Normal 8 2 3 8 3" xfId="12027" xr:uid="{5AC59211-FAC6-4345-A4A4-2E3A17FB199F}"/>
    <cellStyle name="Normal 8 2 3 9" xfId="4853" xr:uid="{00000000-0005-0000-0000-0000E21C0000}"/>
    <cellStyle name="Normal 8 2 3 9 2" xfId="14179" xr:uid="{97B515AB-79A6-4BE5-86A7-47E191252F07}"/>
    <cellStyle name="Normal 8 2 4" xfId="492" xr:uid="{00000000-0005-0000-0000-0000E31C0000}"/>
    <cellStyle name="Normal 8 2 4 10" xfId="9966" xr:uid="{1EBFF666-B483-4722-88E1-CCFAE5D06421}"/>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85CC7CEA-1AB0-4D90-98C4-DA06BD13F6BA}"/>
    <cellStyle name="Normal 8 2 4 2 2 2 3" xfId="12525" xr:uid="{AD5C3E0B-2749-4564-A916-37CFE201589B}"/>
    <cellStyle name="Normal 8 2 4 2 2 3" xfId="5271" xr:uid="{00000000-0005-0000-0000-0000E81C0000}"/>
    <cellStyle name="Normal 8 2 4 2 2 3 2" xfId="14597" xr:uid="{46061E1A-22E7-43CE-A8AF-2E4603556EB8}"/>
    <cellStyle name="Normal 8 2 4 2 2 4" xfId="9486" xr:uid="{9F6EBE4C-F02F-43A6-A388-D5EACB1B3099}"/>
    <cellStyle name="Normal 8 2 4 2 2 5" xfId="10380" xr:uid="{516C040F-BC4B-454E-856B-18B441088CB4}"/>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A50501D4-CE01-444E-95D5-EADD5935939E}"/>
    <cellStyle name="Normal 8 2 4 2 3 2 3" xfId="12938" xr:uid="{D24A67D9-51F9-4F9E-AAC1-62BE625A6055}"/>
    <cellStyle name="Normal 8 2 4 2 3 3" xfId="5684" xr:uid="{00000000-0005-0000-0000-0000EC1C0000}"/>
    <cellStyle name="Normal 8 2 4 2 3 3 2" xfId="15010" xr:uid="{91A4F78F-60D4-44F5-8A01-A9C9124A75C7}"/>
    <cellStyle name="Normal 8 2 4 2 3 4" xfId="10793" xr:uid="{5D06B638-7C01-49A3-AFCC-A3E240989CCE}"/>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680F1B42-CD48-4662-B483-C3D9A0B0BCC6}"/>
    <cellStyle name="Normal 8 2 4 2 4 2 3" xfId="13351" xr:uid="{E1560C48-2E2A-4CA6-917F-577BE4AC91A7}"/>
    <cellStyle name="Normal 8 2 4 2 4 3" xfId="6097" xr:uid="{00000000-0005-0000-0000-0000F01C0000}"/>
    <cellStyle name="Normal 8 2 4 2 4 3 2" xfId="15423" xr:uid="{25227A49-FBE4-4267-A90C-D003608CE165}"/>
    <cellStyle name="Normal 8 2 4 2 4 4" xfId="11206" xr:uid="{58F68E0C-8FEF-4BC2-8A61-D99313F1C747}"/>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5B3B8091-D87B-4809-B2EB-8138528366ED}"/>
    <cellStyle name="Normal 8 2 4 2 5 2 3" xfId="13764" xr:uid="{4AF215FF-0082-4E7F-92D6-11B9CF09A8DF}"/>
    <cellStyle name="Normal 8 2 4 2 5 3" xfId="6510" xr:uid="{00000000-0005-0000-0000-0000F41C0000}"/>
    <cellStyle name="Normal 8 2 4 2 5 3 2" xfId="15836" xr:uid="{36925CC0-CA78-4B60-9596-B66A0F21501E}"/>
    <cellStyle name="Normal 8 2 4 2 5 4" xfId="11619" xr:uid="{A7D344F2-7639-419D-9B80-CF82164EFA12}"/>
    <cellStyle name="Normal 8 2 4 2 6" xfId="2640" xr:uid="{00000000-0005-0000-0000-0000F51C0000}"/>
    <cellStyle name="Normal 8 2 4 2 6 2" xfId="6923" xr:uid="{00000000-0005-0000-0000-0000F61C0000}"/>
    <cellStyle name="Normal 8 2 4 2 6 2 2" xfId="16249" xr:uid="{822138AE-FA1D-48EA-A4E6-29F644ACFFA7}"/>
    <cellStyle name="Normal 8 2 4 2 6 3" xfId="12032" xr:uid="{5E7C03CE-A5F1-49AE-B97A-01AC979558BE}"/>
    <cellStyle name="Normal 8 2 4 2 7" xfId="4858" xr:uid="{00000000-0005-0000-0000-0000F71C0000}"/>
    <cellStyle name="Normal 8 2 4 2 7 2" xfId="14184" xr:uid="{305E5816-026C-4EA3-8D47-EED256225788}"/>
    <cellStyle name="Normal 8 2 4 2 8" xfId="9061" xr:uid="{7295DB82-9441-436C-AA3E-91B68F6E59B3}"/>
    <cellStyle name="Normal 8 2 4 2 9" xfId="9967" xr:uid="{ADEF3C2B-3325-4E8A-9482-40D20DF1BE77}"/>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2181C3B8-DB78-44F1-8674-63249B81E928}"/>
    <cellStyle name="Normal 8 2 4 3 2 3" xfId="12524" xr:uid="{EC52786B-08C2-4DF4-9D81-995BDC4F34FE}"/>
    <cellStyle name="Normal 8 2 4 3 3" xfId="5270" xr:uid="{00000000-0005-0000-0000-0000FB1C0000}"/>
    <cellStyle name="Normal 8 2 4 3 3 2" xfId="14596" xr:uid="{271D33F8-2B52-4357-9AAA-CD1212A2CE2E}"/>
    <cellStyle name="Normal 8 2 4 3 4" xfId="9279" xr:uid="{BA09D30D-BEBA-4223-83E6-57FB46A1EFA8}"/>
    <cellStyle name="Normal 8 2 4 3 5" xfId="10379" xr:uid="{D3BE31E6-E931-4371-8534-6B0C9F56BDF6}"/>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16FD7D8A-1C5F-470E-A917-1281D84ACC49}"/>
    <cellStyle name="Normal 8 2 4 4 2 3" xfId="12937" xr:uid="{EB84E823-3E48-403F-9D27-84462E8DBE7F}"/>
    <cellStyle name="Normal 8 2 4 4 3" xfId="5683" xr:uid="{00000000-0005-0000-0000-0000FF1C0000}"/>
    <cellStyle name="Normal 8 2 4 4 3 2" xfId="15009" xr:uid="{A89BFCC8-A8AA-4A50-94D0-ED4ED427784E}"/>
    <cellStyle name="Normal 8 2 4 4 4" xfId="10792" xr:uid="{21008E38-B905-4E96-AA79-29529DEB952F}"/>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3060F336-8F7D-4BC6-A866-20947BCC011B}"/>
    <cellStyle name="Normal 8 2 4 5 2 3" xfId="13350" xr:uid="{97E50BE7-9385-4656-8A4E-F5D6ECDC562A}"/>
    <cellStyle name="Normal 8 2 4 5 3" xfId="6096" xr:uid="{00000000-0005-0000-0000-0000031D0000}"/>
    <cellStyle name="Normal 8 2 4 5 3 2" xfId="15422" xr:uid="{72201142-95B2-4561-AD86-264B961E0012}"/>
    <cellStyle name="Normal 8 2 4 5 4" xfId="11205" xr:uid="{4DABC123-B00D-4EB5-9878-8AA524AD4D8D}"/>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D42F7B45-B648-4EA5-A071-F2667F3B04BD}"/>
    <cellStyle name="Normal 8 2 4 6 2 3" xfId="13763" xr:uid="{924EABB4-E37E-470D-8D8A-847B426C9F12}"/>
    <cellStyle name="Normal 8 2 4 6 3" xfId="6509" xr:uid="{00000000-0005-0000-0000-0000071D0000}"/>
    <cellStyle name="Normal 8 2 4 6 3 2" xfId="15835" xr:uid="{C806FCC6-B00E-4F90-A661-BDC035000B67}"/>
    <cellStyle name="Normal 8 2 4 6 4" xfId="11618" xr:uid="{968FA259-3FB7-4C59-96E5-296DFF9A5CD3}"/>
    <cellStyle name="Normal 8 2 4 7" xfId="2639" xr:uid="{00000000-0005-0000-0000-0000081D0000}"/>
    <cellStyle name="Normal 8 2 4 7 2" xfId="6922" xr:uid="{00000000-0005-0000-0000-0000091D0000}"/>
    <cellStyle name="Normal 8 2 4 7 2 2" xfId="16248" xr:uid="{D61BA08B-B728-4F5E-994B-CA7236927654}"/>
    <cellStyle name="Normal 8 2 4 7 3" xfId="12031" xr:uid="{D250713C-B331-4FCF-8E4B-EA57F405DAB2}"/>
    <cellStyle name="Normal 8 2 4 8" xfId="4857" xr:uid="{00000000-0005-0000-0000-00000A1D0000}"/>
    <cellStyle name="Normal 8 2 4 8 2" xfId="14183" xr:uid="{E23CEE6D-BAAA-48B5-A451-CD9F39FED002}"/>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E1A0524C-1418-435C-A44E-FE9AA700E188}"/>
    <cellStyle name="Normal 8 2 5 2 2 3" xfId="12526" xr:uid="{E8BF2B09-F7FD-459D-840C-6D470D9ADA5B}"/>
    <cellStyle name="Normal 8 2 5 2 3" xfId="5272" xr:uid="{00000000-0005-0000-0000-00000F1D0000}"/>
    <cellStyle name="Normal 8 2 5 2 3 2" xfId="14598" xr:uid="{9C12DE98-6883-4CD9-9FBF-52996049A921}"/>
    <cellStyle name="Normal 8 2 5 2 4" xfId="9395" xr:uid="{D5766EF3-6042-484F-B510-7448518CF571}"/>
    <cellStyle name="Normal 8 2 5 2 5" xfId="10381" xr:uid="{C3EE5BBB-8E62-4810-AFDE-C30AA75BEF2A}"/>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EF4A7D56-F0CF-4165-A64F-E2F80D2BCE44}"/>
    <cellStyle name="Normal 8 2 5 3 2 3" xfId="12939" xr:uid="{52359ECA-BE1E-4356-A119-A4160DFF4F67}"/>
    <cellStyle name="Normal 8 2 5 3 3" xfId="5685" xr:uid="{00000000-0005-0000-0000-0000131D0000}"/>
    <cellStyle name="Normal 8 2 5 3 3 2" xfId="15011" xr:uid="{1BF7287A-075E-494B-9030-778B233D5A08}"/>
    <cellStyle name="Normal 8 2 5 3 4" xfId="10794" xr:uid="{05C695E6-A895-4695-B049-53991EB96FB9}"/>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3B85D8BB-3495-4833-9293-535205D73E50}"/>
    <cellStyle name="Normal 8 2 5 4 2 3" xfId="13352" xr:uid="{4C97324C-8F80-4CA4-8C85-564E0BEB6521}"/>
    <cellStyle name="Normal 8 2 5 4 3" xfId="6098" xr:uid="{00000000-0005-0000-0000-0000171D0000}"/>
    <cellStyle name="Normal 8 2 5 4 3 2" xfId="15424" xr:uid="{E2E68E4F-A53F-43CF-BCD2-E5836FB9D5A0}"/>
    <cellStyle name="Normal 8 2 5 4 4" xfId="11207" xr:uid="{1A4DC93E-249C-4ADD-83AA-42B2D52D40DC}"/>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98640218-82AC-43FA-B0DD-FD7595A48BB5}"/>
    <cellStyle name="Normal 8 2 5 5 2 3" xfId="13765" xr:uid="{42BF2CAB-C9E6-42E5-8439-CAEB97221AFC}"/>
    <cellStyle name="Normal 8 2 5 5 3" xfId="6511" xr:uid="{00000000-0005-0000-0000-00001B1D0000}"/>
    <cellStyle name="Normal 8 2 5 5 3 2" xfId="15837" xr:uid="{B6C2B804-85B2-4FD8-B3CE-B8EF12552B91}"/>
    <cellStyle name="Normal 8 2 5 5 4" xfId="11620" xr:uid="{C91CB103-1AD3-4548-A2AE-AC22E15B0C29}"/>
    <cellStyle name="Normal 8 2 5 6" xfId="2641" xr:uid="{00000000-0005-0000-0000-00001C1D0000}"/>
    <cellStyle name="Normal 8 2 5 6 2" xfId="6924" xr:uid="{00000000-0005-0000-0000-00001D1D0000}"/>
    <cellStyle name="Normal 8 2 5 6 2 2" xfId="16250" xr:uid="{AFCBF215-763B-4EA5-A7FF-AFE6EE810069}"/>
    <cellStyle name="Normal 8 2 5 6 3" xfId="12033" xr:uid="{3D605867-D59F-44A0-9BA4-802FBD21A8B9}"/>
    <cellStyle name="Normal 8 2 5 7" xfId="4859" xr:uid="{00000000-0005-0000-0000-00001E1D0000}"/>
    <cellStyle name="Normal 8 2 5 7 2" xfId="14185" xr:uid="{81002A01-9AFB-494C-9CC4-789DE576B49B}"/>
    <cellStyle name="Normal 8 2 5 8" xfId="8970" xr:uid="{7E9ACEFF-1680-45D8-BC32-8CA9BA1D63D4}"/>
    <cellStyle name="Normal 8 2 5 9" xfId="9968" xr:uid="{E9FC1B3C-AC34-4D14-B319-5C486B8FF628}"/>
    <cellStyle name="Normal 8 2 6" xfId="946" xr:uid="{00000000-0005-0000-0000-00001F1D0000}"/>
    <cellStyle name="Normal 8 2 6 2" xfId="3180" xr:uid="{00000000-0005-0000-0000-0000201D0000}"/>
    <cellStyle name="Normal 8 2 6 2 2" xfId="7402" xr:uid="{00000000-0005-0000-0000-0000211D0000}"/>
    <cellStyle name="Normal 8 2 6 2 2 2" xfId="16728" xr:uid="{87483BE6-144E-4D3C-A8B1-6B368CD4DF71}"/>
    <cellStyle name="Normal 8 2 6 2 3" xfId="12511" xr:uid="{E2CBAF7C-0532-4B07-8052-DB9EF8B29BA7}"/>
    <cellStyle name="Normal 8 2 6 3" xfId="5257" xr:uid="{00000000-0005-0000-0000-0000221D0000}"/>
    <cellStyle name="Normal 8 2 6 3 2" xfId="14583" xr:uid="{F5E6D485-A5B0-4DC4-B1FF-190FB71E65AF}"/>
    <cellStyle name="Normal 8 2 6 4" xfId="9173" xr:uid="{C36295B3-E6F0-4A6D-AEE5-72C8177C13EE}"/>
    <cellStyle name="Normal 8 2 6 5" xfId="10366" xr:uid="{E30A886F-FAA9-4149-BC0D-856A3056229C}"/>
    <cellStyle name="Normal 8 2 7" xfId="1363" xr:uid="{00000000-0005-0000-0000-0000231D0000}"/>
    <cellStyle name="Normal 8 2 7 2" xfId="3593" xr:uid="{00000000-0005-0000-0000-0000241D0000}"/>
    <cellStyle name="Normal 8 2 7 2 2" xfId="7815" xr:uid="{00000000-0005-0000-0000-0000251D0000}"/>
    <cellStyle name="Normal 8 2 7 2 2 2" xfId="17141" xr:uid="{043515BF-5BAE-4238-B258-E21928DDC508}"/>
    <cellStyle name="Normal 8 2 7 2 3" xfId="12924" xr:uid="{6303AB56-EE0A-49D2-BD85-12C2880E9F7D}"/>
    <cellStyle name="Normal 8 2 7 3" xfId="5670" xr:uid="{00000000-0005-0000-0000-0000261D0000}"/>
    <cellStyle name="Normal 8 2 7 3 2" xfId="14996" xr:uid="{E7B8AB4D-8801-4578-B66D-8464E752B508}"/>
    <cellStyle name="Normal 8 2 7 4" xfId="10779" xr:uid="{2F95E681-F71B-41B2-9881-AA815A51E959}"/>
    <cellStyle name="Normal 8 2 8" xfId="1776" xr:uid="{00000000-0005-0000-0000-0000271D0000}"/>
    <cellStyle name="Normal 8 2 8 2" xfId="4006" xr:uid="{00000000-0005-0000-0000-0000281D0000}"/>
    <cellStyle name="Normal 8 2 8 2 2" xfId="8228" xr:uid="{00000000-0005-0000-0000-0000291D0000}"/>
    <cellStyle name="Normal 8 2 8 2 2 2" xfId="17554" xr:uid="{A8085587-0DEE-451D-AD6C-667CC33863F1}"/>
    <cellStyle name="Normal 8 2 8 2 3" xfId="13337" xr:uid="{3A6CB23C-3EC2-449B-A49A-760211E06D85}"/>
    <cellStyle name="Normal 8 2 8 3" xfId="6083" xr:uid="{00000000-0005-0000-0000-00002A1D0000}"/>
    <cellStyle name="Normal 8 2 8 3 2" xfId="15409" xr:uid="{BDFC0EA0-6BC6-4718-9A58-530B4C5E6A23}"/>
    <cellStyle name="Normal 8 2 8 4" xfId="11192" xr:uid="{4541A567-1357-4421-965B-4855FF1E35E0}"/>
    <cellStyle name="Normal 8 2 9" xfId="2190" xr:uid="{00000000-0005-0000-0000-00002B1D0000}"/>
    <cellStyle name="Normal 8 2 9 2" xfId="4419" xr:uid="{00000000-0005-0000-0000-00002C1D0000}"/>
    <cellStyle name="Normal 8 2 9 2 2" xfId="8641" xr:uid="{00000000-0005-0000-0000-00002D1D0000}"/>
    <cellStyle name="Normal 8 2 9 2 2 2" xfId="17967" xr:uid="{28453579-FC89-4BDD-80E2-D06AE935CABB}"/>
    <cellStyle name="Normal 8 2 9 2 3" xfId="13750" xr:uid="{9C128906-76D0-418D-9B13-41CEC595DE0F}"/>
    <cellStyle name="Normal 8 2 9 3" xfId="6496" xr:uid="{00000000-0005-0000-0000-00002E1D0000}"/>
    <cellStyle name="Normal 8 2 9 3 2" xfId="15822" xr:uid="{9BF41E5C-BED9-44F4-808B-5374733F6F1F}"/>
    <cellStyle name="Normal 8 2 9 4" xfId="11605" xr:uid="{8E294AB6-DC46-4A72-AD55-41325EA370B1}"/>
    <cellStyle name="Normal 8 3" xfId="495" xr:uid="{00000000-0005-0000-0000-00002F1D0000}"/>
    <cellStyle name="Normal 8 3 10" xfId="4860" xr:uid="{00000000-0005-0000-0000-0000301D0000}"/>
    <cellStyle name="Normal 8 3 10 2" xfId="14186" xr:uid="{42896E44-6D22-4CB7-B71A-92B295FF90D5}"/>
    <cellStyle name="Normal 8 3 11" xfId="8774" xr:uid="{81BDDADD-940D-4F3A-BD6C-7E4719C8A3D2}"/>
    <cellStyle name="Normal 8 3 12" xfId="9969" xr:uid="{756F1B06-88D8-43AF-A49A-509290C9D61C}"/>
    <cellStyle name="Normal 8 3 2" xfId="496" xr:uid="{00000000-0005-0000-0000-0000311D0000}"/>
    <cellStyle name="Normal 8 3 2 10" xfId="8837" xr:uid="{392842AA-84B1-4A71-AE94-A1B631487B7E}"/>
    <cellStyle name="Normal 8 3 2 11" xfId="9970" xr:uid="{64E0B675-D834-4CDC-B10A-3A976E6BFA3C}"/>
    <cellStyle name="Normal 8 3 2 2" xfId="497" xr:uid="{00000000-0005-0000-0000-0000321D0000}"/>
    <cellStyle name="Normal 8 3 2 2 10" xfId="9971" xr:uid="{50B23026-BFC7-476F-AC6A-80D436BB0BEC}"/>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411D1C8B-45E1-4415-B91E-378691067D67}"/>
    <cellStyle name="Normal 8 3 2 2 2 2 2 3" xfId="12530" xr:uid="{67A0010A-5F8D-4E53-9D3D-E7C7ADC243A8}"/>
    <cellStyle name="Normal 8 3 2 2 2 2 3" xfId="5276" xr:uid="{00000000-0005-0000-0000-0000371D0000}"/>
    <cellStyle name="Normal 8 3 2 2 2 2 3 2" xfId="14602" xr:uid="{66EA432F-3F7A-4DD0-A09A-423767B8E112}"/>
    <cellStyle name="Normal 8 3 2 2 2 2 4" xfId="9572" xr:uid="{83269435-2305-4677-BD8B-8CB801DC108A}"/>
    <cellStyle name="Normal 8 3 2 2 2 2 5" xfId="10385" xr:uid="{2AC18D4A-B7C1-4DDF-99E3-020CDC51AFA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76F1FC3F-9878-46E7-AEAC-AE90C5CE751A}"/>
    <cellStyle name="Normal 8 3 2 2 2 3 2 3" xfId="12943" xr:uid="{17F365D7-D747-4E8A-806F-2C51827AD07A}"/>
    <cellStyle name="Normal 8 3 2 2 2 3 3" xfId="5689" xr:uid="{00000000-0005-0000-0000-00003B1D0000}"/>
    <cellStyle name="Normal 8 3 2 2 2 3 3 2" xfId="15015" xr:uid="{27225C2F-53AB-4463-ABCC-AD8D41FCAFA6}"/>
    <cellStyle name="Normal 8 3 2 2 2 3 4" xfId="10798" xr:uid="{B3F7DDF8-1104-46E1-8114-4E5D8761B5C5}"/>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D76638CC-0F96-48B6-ADB8-87621E1BCC5D}"/>
    <cellStyle name="Normal 8 3 2 2 2 4 2 3" xfId="13356" xr:uid="{1E103008-1B8F-4727-9C5F-9E39CB2E0377}"/>
    <cellStyle name="Normal 8 3 2 2 2 4 3" xfId="6102" xr:uid="{00000000-0005-0000-0000-00003F1D0000}"/>
    <cellStyle name="Normal 8 3 2 2 2 4 3 2" xfId="15428" xr:uid="{36FD9E6C-5489-4684-AD42-AF2A934F0722}"/>
    <cellStyle name="Normal 8 3 2 2 2 4 4" xfId="11211" xr:uid="{372353F2-CC41-4B5E-96E5-22176B1F242A}"/>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5C809B55-BA67-4B3C-A5D9-455E2524A0AB}"/>
    <cellStyle name="Normal 8 3 2 2 2 5 2 3" xfId="13769" xr:uid="{58AF8470-4322-4C11-AAB9-96F2185526A4}"/>
    <cellStyle name="Normal 8 3 2 2 2 5 3" xfId="6515" xr:uid="{00000000-0005-0000-0000-0000431D0000}"/>
    <cellStyle name="Normal 8 3 2 2 2 5 3 2" xfId="15841" xr:uid="{5EBAE6A5-2605-4FED-A806-BA0AEA3DDAE5}"/>
    <cellStyle name="Normal 8 3 2 2 2 5 4" xfId="11624" xr:uid="{0FE584F8-2229-464C-AAB6-CDB259EA0799}"/>
    <cellStyle name="Normal 8 3 2 2 2 6" xfId="2645" xr:uid="{00000000-0005-0000-0000-0000441D0000}"/>
    <cellStyle name="Normal 8 3 2 2 2 6 2" xfId="6928" xr:uid="{00000000-0005-0000-0000-0000451D0000}"/>
    <cellStyle name="Normal 8 3 2 2 2 6 2 2" xfId="16254" xr:uid="{E886B4C0-C321-429D-94E3-DF7C34D1E118}"/>
    <cellStyle name="Normal 8 3 2 2 2 6 3" xfId="12037" xr:uid="{B5448618-54BC-4ECC-B81E-BEF61691895C}"/>
    <cellStyle name="Normal 8 3 2 2 2 7" xfId="4863" xr:uid="{00000000-0005-0000-0000-0000461D0000}"/>
    <cellStyle name="Normal 8 3 2 2 2 7 2" xfId="14189" xr:uid="{14D30648-4785-4CD4-A96A-04BA9E981F7C}"/>
    <cellStyle name="Normal 8 3 2 2 2 8" xfId="9147" xr:uid="{16780743-13F5-44BF-919B-157B86988913}"/>
    <cellStyle name="Normal 8 3 2 2 2 9" xfId="9972" xr:uid="{2F54AA8E-01F6-4C7D-8EA8-C164D9913816}"/>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2172D134-B693-40FB-B532-30C41E0B7AA7}"/>
    <cellStyle name="Normal 8 3 2 2 3 2 3" xfId="12529" xr:uid="{FA5BB780-2F4C-4A9F-97CA-016D09625D10}"/>
    <cellStyle name="Normal 8 3 2 2 3 3" xfId="5275" xr:uid="{00000000-0005-0000-0000-00004A1D0000}"/>
    <cellStyle name="Normal 8 3 2 2 3 3 2" xfId="14601" xr:uid="{37A52A4C-8375-456B-B3A2-4C7EF9D2CC9F}"/>
    <cellStyle name="Normal 8 3 2 2 3 4" xfId="9365" xr:uid="{47FF7C14-7484-41B9-856F-11398F7B2C7C}"/>
    <cellStyle name="Normal 8 3 2 2 3 5" xfId="10384" xr:uid="{0FF4C54E-2554-4FDE-A2AA-A00185403768}"/>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6D350D91-90F3-4F9B-859B-2A2AF3AC508F}"/>
    <cellStyle name="Normal 8 3 2 2 4 2 3" xfId="12942" xr:uid="{D53680B3-13EE-42AF-9455-BCAF03791027}"/>
    <cellStyle name="Normal 8 3 2 2 4 3" xfId="5688" xr:uid="{00000000-0005-0000-0000-00004E1D0000}"/>
    <cellStyle name="Normal 8 3 2 2 4 3 2" xfId="15014" xr:uid="{963DE9A9-5E53-4F22-B7EB-E04AE9EEFD1C}"/>
    <cellStyle name="Normal 8 3 2 2 4 4" xfId="10797" xr:uid="{D48080C9-0A70-439E-BA77-0B39EC4D6DCA}"/>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0927B3CD-8B11-48DD-98A8-C3B0447A3CCB}"/>
    <cellStyle name="Normal 8 3 2 2 5 2 3" xfId="13355" xr:uid="{9616BA20-5E23-4E4B-B123-7EA72F837374}"/>
    <cellStyle name="Normal 8 3 2 2 5 3" xfId="6101" xr:uid="{00000000-0005-0000-0000-0000521D0000}"/>
    <cellStyle name="Normal 8 3 2 2 5 3 2" xfId="15427" xr:uid="{33FFEDF7-7CE0-41EA-8526-60978D39DEFE}"/>
    <cellStyle name="Normal 8 3 2 2 5 4" xfId="11210" xr:uid="{0710535F-AE93-436B-B200-34797DB760A2}"/>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DCACB4AA-3FBF-4C49-8765-8DE4C9530216}"/>
    <cellStyle name="Normal 8 3 2 2 6 2 3" xfId="13768" xr:uid="{4EA4AE7D-CC96-4173-B95D-F39A6D92CEEA}"/>
    <cellStyle name="Normal 8 3 2 2 6 3" xfId="6514" xr:uid="{00000000-0005-0000-0000-0000561D0000}"/>
    <cellStyle name="Normal 8 3 2 2 6 3 2" xfId="15840" xr:uid="{A8D576A6-A90E-4DA4-AA7F-412D8B329969}"/>
    <cellStyle name="Normal 8 3 2 2 6 4" xfId="11623" xr:uid="{1583A0FB-DC0C-4DEB-9579-74DF6F49E133}"/>
    <cellStyle name="Normal 8 3 2 2 7" xfId="2644" xr:uid="{00000000-0005-0000-0000-0000571D0000}"/>
    <cellStyle name="Normal 8 3 2 2 7 2" xfId="6927" xr:uid="{00000000-0005-0000-0000-0000581D0000}"/>
    <cellStyle name="Normal 8 3 2 2 7 2 2" xfId="16253" xr:uid="{F81BABBD-03B6-4107-94AF-77AF3C01CF86}"/>
    <cellStyle name="Normal 8 3 2 2 7 3" xfId="12036" xr:uid="{844985F0-0B42-40B3-837B-80BF15EFE63B}"/>
    <cellStyle name="Normal 8 3 2 2 8" xfId="4862" xr:uid="{00000000-0005-0000-0000-0000591D0000}"/>
    <cellStyle name="Normal 8 3 2 2 8 2" xfId="14188" xr:uid="{41B52370-9196-48BF-BE43-43A08DD16582}"/>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E60A27C6-FA69-4B06-B72E-442EC739A29C}"/>
    <cellStyle name="Normal 8 3 2 3 2 2 3" xfId="12531" xr:uid="{491CACF1-20A0-4352-939B-76E559BD4C08}"/>
    <cellStyle name="Normal 8 3 2 3 2 3" xfId="5277" xr:uid="{00000000-0005-0000-0000-00005E1D0000}"/>
    <cellStyle name="Normal 8 3 2 3 2 3 2" xfId="14603" xr:uid="{48C46D84-8FF8-4F8F-B74A-86F22F5757E6}"/>
    <cellStyle name="Normal 8 3 2 3 2 4" xfId="9469" xr:uid="{7CA6C380-A6E9-4AF4-A29A-E40C8E9B5B5F}"/>
    <cellStyle name="Normal 8 3 2 3 2 5" xfId="10386" xr:uid="{B01B06D0-B669-44FD-8E20-B37C8222E740}"/>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772FC718-7040-4F22-8B39-281FF92D0910}"/>
    <cellStyle name="Normal 8 3 2 3 3 2 3" xfId="12944" xr:uid="{DEEED182-D23A-4E3B-98BC-81011AF97915}"/>
    <cellStyle name="Normal 8 3 2 3 3 3" xfId="5690" xr:uid="{00000000-0005-0000-0000-0000621D0000}"/>
    <cellStyle name="Normal 8 3 2 3 3 3 2" xfId="15016" xr:uid="{1EA08768-CC1D-419D-9234-D2A794816312}"/>
    <cellStyle name="Normal 8 3 2 3 3 4" xfId="10799" xr:uid="{31522AE6-73C5-4404-AD8D-3149D6B7E3EF}"/>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F826027D-DD24-47E0-86AC-AAC682ED085F}"/>
    <cellStyle name="Normal 8 3 2 3 4 2 3" xfId="13357" xr:uid="{E96E43DB-006D-4170-8F70-D68A5F11BEEC}"/>
    <cellStyle name="Normal 8 3 2 3 4 3" xfId="6103" xr:uid="{00000000-0005-0000-0000-0000661D0000}"/>
    <cellStyle name="Normal 8 3 2 3 4 3 2" xfId="15429" xr:uid="{6B6C5023-E7CD-4B85-A03F-A049694A9DA9}"/>
    <cellStyle name="Normal 8 3 2 3 4 4" xfId="11212" xr:uid="{A91AB61B-4573-4A4C-9B80-27A2784E5735}"/>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1111DC62-1AC2-4D20-8894-B9BE58BAF103}"/>
    <cellStyle name="Normal 8 3 2 3 5 2 3" xfId="13770" xr:uid="{BED617D0-C9D7-4B66-A78C-3C705A9642C2}"/>
    <cellStyle name="Normal 8 3 2 3 5 3" xfId="6516" xr:uid="{00000000-0005-0000-0000-00006A1D0000}"/>
    <cellStyle name="Normal 8 3 2 3 5 3 2" xfId="15842" xr:uid="{74C1DBFA-9463-4E24-A688-0786310249F3}"/>
    <cellStyle name="Normal 8 3 2 3 5 4" xfId="11625" xr:uid="{07C9EC47-9938-456A-9C31-9A58D5807F65}"/>
    <cellStyle name="Normal 8 3 2 3 6" xfId="2646" xr:uid="{00000000-0005-0000-0000-00006B1D0000}"/>
    <cellStyle name="Normal 8 3 2 3 6 2" xfId="6929" xr:uid="{00000000-0005-0000-0000-00006C1D0000}"/>
    <cellStyle name="Normal 8 3 2 3 6 2 2" xfId="16255" xr:uid="{AB4727B0-B98F-45D9-831D-C79E0E97C0DB}"/>
    <cellStyle name="Normal 8 3 2 3 6 3" xfId="12038" xr:uid="{BFD8880A-2CDA-4864-997E-93993524BB75}"/>
    <cellStyle name="Normal 8 3 2 3 7" xfId="4864" xr:uid="{00000000-0005-0000-0000-00006D1D0000}"/>
    <cellStyle name="Normal 8 3 2 3 7 2" xfId="14190" xr:uid="{8A1CFBB3-8775-4B6F-A973-3AE72CE193FF}"/>
    <cellStyle name="Normal 8 3 2 3 8" xfId="9044" xr:uid="{5ED49706-9CA9-4EE9-B01D-112CD1DB587C}"/>
    <cellStyle name="Normal 8 3 2 3 9" xfId="9973" xr:uid="{F2BBF259-CA39-4FE0-9423-9B3E85B8B325}"/>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A6C87C18-ED2F-46A5-8D07-8CFE0C26585F}"/>
    <cellStyle name="Normal 8 3 2 4 2 3" xfId="12528" xr:uid="{3251EB05-41B1-4D05-B7E7-35E7405F4090}"/>
    <cellStyle name="Normal 8 3 2 4 3" xfId="5274" xr:uid="{00000000-0005-0000-0000-0000711D0000}"/>
    <cellStyle name="Normal 8 3 2 4 3 2" xfId="14600" xr:uid="{D4B7892D-0E25-44F1-A0CF-44FB9B6356AA}"/>
    <cellStyle name="Normal 8 3 2 4 4" xfId="9262" xr:uid="{8842595C-CD28-4B10-9BE6-37883B4C2AA9}"/>
    <cellStyle name="Normal 8 3 2 4 5" xfId="10383" xr:uid="{1EA8FFE6-C995-43CB-867D-64D9422D934F}"/>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174CBC9C-7FF5-4005-9E38-2CA27FBEC56F}"/>
    <cellStyle name="Normal 8 3 2 5 2 3" xfId="12941" xr:uid="{65E7B173-49F2-431C-B89C-CA8FF82072EB}"/>
    <cellStyle name="Normal 8 3 2 5 3" xfId="5687" xr:uid="{00000000-0005-0000-0000-0000751D0000}"/>
    <cellStyle name="Normal 8 3 2 5 3 2" xfId="15013" xr:uid="{91F14C4C-F5F8-4314-B310-7F8EFAA2998B}"/>
    <cellStyle name="Normal 8 3 2 5 4" xfId="10796" xr:uid="{DF83BE2B-55C8-4C53-ABC7-3484DD2AB7EB}"/>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CCFA0410-2CBD-46EA-BB3E-F6D55FD2065E}"/>
    <cellStyle name="Normal 8 3 2 6 2 3" xfId="13354" xr:uid="{DEF3D8F3-4416-49E4-BE32-B625FCF26F22}"/>
    <cellStyle name="Normal 8 3 2 6 3" xfId="6100" xr:uid="{00000000-0005-0000-0000-0000791D0000}"/>
    <cellStyle name="Normal 8 3 2 6 3 2" xfId="15426" xr:uid="{AB538FE0-F21B-4A45-A375-204F57485E78}"/>
    <cellStyle name="Normal 8 3 2 6 4" xfId="11209" xr:uid="{D827F612-05C5-470B-A3C5-53B7CDEA34CF}"/>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4A35915E-5904-4027-A0BB-658C87183768}"/>
    <cellStyle name="Normal 8 3 2 7 2 3" xfId="13767" xr:uid="{AC49198F-79C7-44BD-88F0-C001E71E4743}"/>
    <cellStyle name="Normal 8 3 2 7 3" xfId="6513" xr:uid="{00000000-0005-0000-0000-00007D1D0000}"/>
    <cellStyle name="Normal 8 3 2 7 3 2" xfId="15839" xr:uid="{737F7688-B55E-43DE-9834-6D1483C2F5E6}"/>
    <cellStyle name="Normal 8 3 2 7 4" xfId="11622" xr:uid="{3F25D992-04D9-4B7F-8602-5A78F6FD3D1D}"/>
    <cellStyle name="Normal 8 3 2 8" xfId="2643" xr:uid="{00000000-0005-0000-0000-00007E1D0000}"/>
    <cellStyle name="Normal 8 3 2 8 2" xfId="6926" xr:uid="{00000000-0005-0000-0000-00007F1D0000}"/>
    <cellStyle name="Normal 8 3 2 8 2 2" xfId="16252" xr:uid="{2215C6B0-0DB4-4A5E-9FFA-0440D35CF2A3}"/>
    <cellStyle name="Normal 8 3 2 8 3" xfId="12035" xr:uid="{57EC6C04-D948-460A-A307-5E28EE016AB5}"/>
    <cellStyle name="Normal 8 3 2 9" xfId="4861" xr:uid="{00000000-0005-0000-0000-0000801D0000}"/>
    <cellStyle name="Normal 8 3 2 9 2" xfId="14187" xr:uid="{1968B219-CDE5-4B6B-96F0-ACECF9435B8C}"/>
    <cellStyle name="Normal 8 3 3" xfId="500" xr:uid="{00000000-0005-0000-0000-0000811D0000}"/>
    <cellStyle name="Normal 8 3 3 10" xfId="9974" xr:uid="{943ED55B-75BE-487F-960D-0A4C08ED1A01}"/>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A9CA7322-9F2A-4B48-B72F-30FC8495944A}"/>
    <cellStyle name="Normal 8 3 3 2 2 2 3" xfId="12533" xr:uid="{4586E83C-2AE0-43CE-80C2-00F3F245E2DA}"/>
    <cellStyle name="Normal 8 3 3 2 2 3" xfId="5279" xr:uid="{00000000-0005-0000-0000-0000861D0000}"/>
    <cellStyle name="Normal 8 3 3 2 2 3 2" xfId="14605" xr:uid="{E59DA10F-057A-4190-BAE9-92D4A4AFE858}"/>
    <cellStyle name="Normal 8 3 3 2 2 4" xfId="9509" xr:uid="{3B4378D3-7C51-4B91-822B-758528BFF352}"/>
    <cellStyle name="Normal 8 3 3 2 2 5" xfId="10388" xr:uid="{6BD5689F-E689-4DD1-A081-19D3A9E107EC}"/>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DDB16A5E-30D0-42A4-B0EB-94BDF8B0D505}"/>
    <cellStyle name="Normal 8 3 3 2 3 2 3" xfId="12946" xr:uid="{2F411D9D-A8AD-400D-BD3B-6D67C7021D43}"/>
    <cellStyle name="Normal 8 3 3 2 3 3" xfId="5692" xr:uid="{00000000-0005-0000-0000-00008A1D0000}"/>
    <cellStyle name="Normal 8 3 3 2 3 3 2" xfId="15018" xr:uid="{31DBA900-D700-4775-B4BA-7803A9A8F9A5}"/>
    <cellStyle name="Normal 8 3 3 2 3 4" xfId="10801" xr:uid="{5D02D8EC-4F4C-46E6-AEBA-D52E14AF9B3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849DB706-937A-4F8A-A01C-7759E2B95368}"/>
    <cellStyle name="Normal 8 3 3 2 4 2 3" xfId="13359" xr:uid="{155DEE63-94A7-4D56-B1A0-F270CE0F3D6E}"/>
    <cellStyle name="Normal 8 3 3 2 4 3" xfId="6105" xr:uid="{00000000-0005-0000-0000-00008E1D0000}"/>
    <cellStyle name="Normal 8 3 3 2 4 3 2" xfId="15431" xr:uid="{365D097E-567D-4F18-8C6A-64FEE5EDAB1B}"/>
    <cellStyle name="Normal 8 3 3 2 4 4" xfId="11214" xr:uid="{80C370E3-73BC-47FD-A999-0CBF6F4F7B25}"/>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5335E382-DBD8-451C-A215-DA5FD7819CBB}"/>
    <cellStyle name="Normal 8 3 3 2 5 2 3" xfId="13772" xr:uid="{4CE7E01B-F844-4599-ACF1-F3953BA5FD76}"/>
    <cellStyle name="Normal 8 3 3 2 5 3" xfId="6518" xr:uid="{00000000-0005-0000-0000-0000921D0000}"/>
    <cellStyle name="Normal 8 3 3 2 5 3 2" xfId="15844" xr:uid="{9F3F8844-019B-45EC-A106-32B145236D83}"/>
    <cellStyle name="Normal 8 3 3 2 5 4" xfId="11627" xr:uid="{F24586D6-E5B1-4CC1-A4DE-727C70D0FC6C}"/>
    <cellStyle name="Normal 8 3 3 2 6" xfId="2648" xr:uid="{00000000-0005-0000-0000-0000931D0000}"/>
    <cellStyle name="Normal 8 3 3 2 6 2" xfId="6931" xr:uid="{00000000-0005-0000-0000-0000941D0000}"/>
    <cellStyle name="Normal 8 3 3 2 6 2 2" xfId="16257" xr:uid="{A78D167C-F0D5-43FA-92BB-9F7966BF18C6}"/>
    <cellStyle name="Normal 8 3 3 2 6 3" xfId="12040" xr:uid="{01A5602F-D104-4BE9-BACC-49EF071E606E}"/>
    <cellStyle name="Normal 8 3 3 2 7" xfId="4866" xr:uid="{00000000-0005-0000-0000-0000951D0000}"/>
    <cellStyle name="Normal 8 3 3 2 7 2" xfId="14192" xr:uid="{51D3492C-3759-45D9-82A4-C8F3FA9141E5}"/>
    <cellStyle name="Normal 8 3 3 2 8" xfId="9084" xr:uid="{94243AB7-0454-4C95-8E94-054E46718167}"/>
    <cellStyle name="Normal 8 3 3 2 9" xfId="9975" xr:uid="{E44C2452-CE71-401B-849D-EE1A48ED1FB6}"/>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18771949-76DC-4C60-9123-2E7DE20875CB}"/>
    <cellStyle name="Normal 8 3 3 3 2 3" xfId="12532" xr:uid="{F4259137-E8A5-414A-B521-B089355382C4}"/>
    <cellStyle name="Normal 8 3 3 3 3" xfId="5278" xr:uid="{00000000-0005-0000-0000-0000991D0000}"/>
    <cellStyle name="Normal 8 3 3 3 3 2" xfId="14604" xr:uid="{D4C677DA-9FCE-43DD-8B44-CB32302894E7}"/>
    <cellStyle name="Normal 8 3 3 3 4" xfId="9302" xr:uid="{3985B908-2B56-4F9B-BEA3-8962926FD004}"/>
    <cellStyle name="Normal 8 3 3 3 5" xfId="10387" xr:uid="{5D932E92-58CB-443C-AD53-25F646B2E580}"/>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898F7563-CDCC-4418-B5F7-B78040F4F1B0}"/>
    <cellStyle name="Normal 8 3 3 4 2 3" xfId="12945" xr:uid="{56A335A0-81BB-405C-A390-390FBAB040C4}"/>
    <cellStyle name="Normal 8 3 3 4 3" xfId="5691" xr:uid="{00000000-0005-0000-0000-00009D1D0000}"/>
    <cellStyle name="Normal 8 3 3 4 3 2" xfId="15017" xr:uid="{FE0300EA-2895-4755-B907-1B94CF2EB66D}"/>
    <cellStyle name="Normal 8 3 3 4 4" xfId="10800" xr:uid="{0BB97F4B-731D-4DCA-9EF9-B1C69202B698}"/>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1A49C110-FCBA-4627-A1C1-0D36AED1638C}"/>
    <cellStyle name="Normal 8 3 3 5 2 3" xfId="13358" xr:uid="{1B2874D5-E5E4-418F-A9DE-D514BD7572EF}"/>
    <cellStyle name="Normal 8 3 3 5 3" xfId="6104" xr:uid="{00000000-0005-0000-0000-0000A11D0000}"/>
    <cellStyle name="Normal 8 3 3 5 3 2" xfId="15430" xr:uid="{2DAF9D71-D7EE-40CD-A42C-264EA36C160B}"/>
    <cellStyle name="Normal 8 3 3 5 4" xfId="11213" xr:uid="{1889BBA3-BDB5-4D7F-A199-5D2EC1CE35A8}"/>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1F9B9469-EA3C-4E72-A872-A3B3812533C3}"/>
    <cellStyle name="Normal 8 3 3 6 2 3" xfId="13771" xr:uid="{0F049A7B-FAFF-49E8-B45C-1177BA79B3D9}"/>
    <cellStyle name="Normal 8 3 3 6 3" xfId="6517" xr:uid="{00000000-0005-0000-0000-0000A51D0000}"/>
    <cellStyle name="Normal 8 3 3 6 3 2" xfId="15843" xr:uid="{5CE8B946-FB16-4D26-8640-0EB4FE0D29C5}"/>
    <cellStyle name="Normal 8 3 3 6 4" xfId="11626" xr:uid="{CFA53B74-FD84-448B-9027-101D92230355}"/>
    <cellStyle name="Normal 8 3 3 7" xfId="2647" xr:uid="{00000000-0005-0000-0000-0000A61D0000}"/>
    <cellStyle name="Normal 8 3 3 7 2" xfId="6930" xr:uid="{00000000-0005-0000-0000-0000A71D0000}"/>
    <cellStyle name="Normal 8 3 3 7 2 2" xfId="16256" xr:uid="{A9C34C96-DF2E-47B3-8DB8-FF87B2709CCC}"/>
    <cellStyle name="Normal 8 3 3 7 3" xfId="12039" xr:uid="{39EB0608-813E-4044-9A1A-2C6C9810E1E4}"/>
    <cellStyle name="Normal 8 3 3 8" xfId="4865" xr:uid="{00000000-0005-0000-0000-0000A81D0000}"/>
    <cellStyle name="Normal 8 3 3 8 2" xfId="14191" xr:uid="{827D5D87-02E8-4C77-82D3-820963704BF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A784E4F2-697C-4C7D-A6E0-8D450CD269A4}"/>
    <cellStyle name="Normal 8 3 4 2 2 3" xfId="12534" xr:uid="{13877F2D-CBFE-4DD6-8A24-E19758189933}"/>
    <cellStyle name="Normal 8 3 4 2 3" xfId="5280" xr:uid="{00000000-0005-0000-0000-0000AD1D0000}"/>
    <cellStyle name="Normal 8 3 4 2 3 2" xfId="14606" xr:uid="{B1229FA8-77BC-40E5-8FD1-B3FD2BDAEEE9}"/>
    <cellStyle name="Normal 8 3 4 2 4" xfId="9406" xr:uid="{8751BE45-E47B-4A0A-B0DE-04C14FAEA88D}"/>
    <cellStyle name="Normal 8 3 4 2 5" xfId="10389" xr:uid="{B9FC05C0-54B1-41EF-81C3-A9E93EE3A1C9}"/>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E8C3CF25-5B82-431D-ABEA-0F9CFCAEE190}"/>
    <cellStyle name="Normal 8 3 4 3 2 3" xfId="12947" xr:uid="{95F42E30-B138-4F91-A660-E32258889E70}"/>
    <cellStyle name="Normal 8 3 4 3 3" xfId="5693" xr:uid="{00000000-0005-0000-0000-0000B11D0000}"/>
    <cellStyle name="Normal 8 3 4 3 3 2" xfId="15019" xr:uid="{E26B31B3-D1B1-4D01-AE86-38185A9FC271}"/>
    <cellStyle name="Normal 8 3 4 3 4" xfId="10802" xr:uid="{864EE9D3-FCF7-494F-BA53-25408417BA8C}"/>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0B9544B6-283B-4389-84E8-A0A6024E8BB8}"/>
    <cellStyle name="Normal 8 3 4 4 2 3" xfId="13360" xr:uid="{5F2E0B39-918D-49BC-8AFE-400F0CD9E21E}"/>
    <cellStyle name="Normal 8 3 4 4 3" xfId="6106" xr:uid="{00000000-0005-0000-0000-0000B51D0000}"/>
    <cellStyle name="Normal 8 3 4 4 3 2" xfId="15432" xr:uid="{B547BFED-6006-4ACC-A6BE-2B685EBD8D48}"/>
    <cellStyle name="Normal 8 3 4 4 4" xfId="11215" xr:uid="{70C9F098-259B-4FBE-AAB2-A195C9ACF0E8}"/>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CFA5CACE-AA1B-43AF-9FFA-B8B2DDABCE85}"/>
    <cellStyle name="Normal 8 3 4 5 2 3" xfId="13773" xr:uid="{BEF8156A-5452-4383-98DA-656D8181C051}"/>
    <cellStyle name="Normal 8 3 4 5 3" xfId="6519" xr:uid="{00000000-0005-0000-0000-0000B91D0000}"/>
    <cellStyle name="Normal 8 3 4 5 3 2" xfId="15845" xr:uid="{F6013FFA-EC8C-4450-A037-EBB18D79BB39}"/>
    <cellStyle name="Normal 8 3 4 5 4" xfId="11628" xr:uid="{B3F05F84-FF58-4D28-8E67-E74A6EC6CF14}"/>
    <cellStyle name="Normal 8 3 4 6" xfId="2649" xr:uid="{00000000-0005-0000-0000-0000BA1D0000}"/>
    <cellStyle name="Normal 8 3 4 6 2" xfId="6932" xr:uid="{00000000-0005-0000-0000-0000BB1D0000}"/>
    <cellStyle name="Normal 8 3 4 6 2 2" xfId="16258" xr:uid="{FB263883-F30A-4AAD-AE60-BCD615CE6FEB}"/>
    <cellStyle name="Normal 8 3 4 6 3" xfId="12041" xr:uid="{0CC4B80F-A76A-4FD6-9EDA-15A269916693}"/>
    <cellStyle name="Normal 8 3 4 7" xfId="4867" xr:uid="{00000000-0005-0000-0000-0000BC1D0000}"/>
    <cellStyle name="Normal 8 3 4 7 2" xfId="14193" xr:uid="{AFEF7447-F9FC-426D-9A54-21B33F35192E}"/>
    <cellStyle name="Normal 8 3 4 8" xfId="8981" xr:uid="{BEE184E9-ECE6-4107-B29A-CC8BC7F28FA3}"/>
    <cellStyle name="Normal 8 3 4 9" xfId="9976" xr:uid="{44C4587B-1CE0-4126-9EE5-B67F640289D3}"/>
    <cellStyle name="Normal 8 3 5" xfId="962" xr:uid="{00000000-0005-0000-0000-0000BD1D0000}"/>
    <cellStyle name="Normal 8 3 5 2" xfId="3196" xr:uid="{00000000-0005-0000-0000-0000BE1D0000}"/>
    <cellStyle name="Normal 8 3 5 2 2" xfId="7418" xr:uid="{00000000-0005-0000-0000-0000BF1D0000}"/>
    <cellStyle name="Normal 8 3 5 2 2 2" xfId="16744" xr:uid="{B90C1B87-0CC0-499E-A0A5-E070CD2CBA43}"/>
    <cellStyle name="Normal 8 3 5 2 3" xfId="12527" xr:uid="{D09F49DF-0E76-46AF-9D65-DAF90529525E}"/>
    <cellStyle name="Normal 8 3 5 3" xfId="5273" xr:uid="{00000000-0005-0000-0000-0000C01D0000}"/>
    <cellStyle name="Normal 8 3 5 3 2" xfId="14599" xr:uid="{C3AA02DE-BE03-4650-82FB-CD6097D2CBE6}"/>
    <cellStyle name="Normal 8 3 5 4" xfId="9198" xr:uid="{FA5A5C79-C3AC-4E17-9344-90C4E411EE0B}"/>
    <cellStyle name="Normal 8 3 5 5" xfId="10382" xr:uid="{832A592C-B001-4B83-B9E9-0D2B8AA00585}"/>
    <cellStyle name="Normal 8 3 6" xfId="1379" xr:uid="{00000000-0005-0000-0000-0000C11D0000}"/>
    <cellStyle name="Normal 8 3 6 2" xfId="3609" xr:uid="{00000000-0005-0000-0000-0000C21D0000}"/>
    <cellStyle name="Normal 8 3 6 2 2" xfId="7831" xr:uid="{00000000-0005-0000-0000-0000C31D0000}"/>
    <cellStyle name="Normal 8 3 6 2 2 2" xfId="17157" xr:uid="{3B30C2F2-F89D-43CD-B42F-21F167C24FAE}"/>
    <cellStyle name="Normal 8 3 6 2 3" xfId="12940" xr:uid="{6F2954E4-3131-4379-AF53-FBC928129080}"/>
    <cellStyle name="Normal 8 3 6 3" xfId="5686" xr:uid="{00000000-0005-0000-0000-0000C41D0000}"/>
    <cellStyle name="Normal 8 3 6 3 2" xfId="15012" xr:uid="{A82AD922-1154-43BC-89CB-DE38A978696F}"/>
    <cellStyle name="Normal 8 3 6 4" xfId="10795" xr:uid="{F3E09702-D357-418D-83C0-23C5310C1356}"/>
    <cellStyle name="Normal 8 3 7" xfId="1792" xr:uid="{00000000-0005-0000-0000-0000C51D0000}"/>
    <cellStyle name="Normal 8 3 7 2" xfId="4022" xr:uid="{00000000-0005-0000-0000-0000C61D0000}"/>
    <cellStyle name="Normal 8 3 7 2 2" xfId="8244" xr:uid="{00000000-0005-0000-0000-0000C71D0000}"/>
    <cellStyle name="Normal 8 3 7 2 2 2" xfId="17570" xr:uid="{4C646BB7-547D-465F-A657-93564AC24564}"/>
    <cellStyle name="Normal 8 3 7 2 3" xfId="13353" xr:uid="{3F8A9C22-7F7E-476C-949B-DF2C4DF4FB41}"/>
    <cellStyle name="Normal 8 3 7 3" xfId="6099" xr:uid="{00000000-0005-0000-0000-0000C81D0000}"/>
    <cellStyle name="Normal 8 3 7 3 2" xfId="15425" xr:uid="{8BF6D33B-4BF0-4178-BD88-3818A697D6B4}"/>
    <cellStyle name="Normal 8 3 7 4" xfId="11208" xr:uid="{74A17F15-5F81-4744-BBB4-2C0C66FED15D}"/>
    <cellStyle name="Normal 8 3 8" xfId="2206" xr:uid="{00000000-0005-0000-0000-0000C91D0000}"/>
    <cellStyle name="Normal 8 3 8 2" xfId="4435" xr:uid="{00000000-0005-0000-0000-0000CA1D0000}"/>
    <cellStyle name="Normal 8 3 8 2 2" xfId="8657" xr:uid="{00000000-0005-0000-0000-0000CB1D0000}"/>
    <cellStyle name="Normal 8 3 8 2 2 2" xfId="17983" xr:uid="{4A75DA72-9530-4F18-8DBC-D4DBC496CF02}"/>
    <cellStyle name="Normal 8 3 8 2 3" xfId="13766" xr:uid="{825351D5-7401-43EF-9E9D-EFD0F3E0316A}"/>
    <cellStyle name="Normal 8 3 8 3" xfId="6512" xr:uid="{00000000-0005-0000-0000-0000CC1D0000}"/>
    <cellStyle name="Normal 8 3 8 3 2" xfId="15838" xr:uid="{9C03353E-5AB7-414E-BF0D-F1BF48475166}"/>
    <cellStyle name="Normal 8 3 8 4" xfId="11621" xr:uid="{0857E722-72A8-4F3C-970D-A3E7F9FE8D5D}"/>
    <cellStyle name="Normal 8 3 9" xfId="2642" xr:uid="{00000000-0005-0000-0000-0000CD1D0000}"/>
    <cellStyle name="Normal 8 3 9 2" xfId="6925" xr:uid="{00000000-0005-0000-0000-0000CE1D0000}"/>
    <cellStyle name="Normal 8 3 9 2 2" xfId="16251" xr:uid="{E080668C-0131-47C6-B89B-3423A7CA3736}"/>
    <cellStyle name="Normal 8 3 9 3" xfId="12034" xr:uid="{DE0A3EFC-E2B7-4163-893B-EDE85F2892DF}"/>
    <cellStyle name="Normal 8 4" xfId="503" xr:uid="{00000000-0005-0000-0000-0000CF1D0000}"/>
    <cellStyle name="Normal 8 4 10" xfId="8834" xr:uid="{78848A4E-06FA-4050-B553-A3A7DEA1B047}"/>
    <cellStyle name="Normal 8 4 11" xfId="9977" xr:uid="{FB754233-3B8F-4293-B0BF-F2E4766F1F70}"/>
    <cellStyle name="Normal 8 4 2" xfId="504" xr:uid="{00000000-0005-0000-0000-0000D01D0000}"/>
    <cellStyle name="Normal 8 4 2 10" xfId="9978" xr:uid="{3FAFEDDD-3F6F-4FE6-B431-D61584BAC2AE}"/>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A98EC12D-C7A6-43E6-ABFD-75512477A4F7}"/>
    <cellStyle name="Normal 8 4 2 2 2 2 3" xfId="12537" xr:uid="{E0426CEB-C3BB-4F00-A05B-873114DA2AAC}"/>
    <cellStyle name="Normal 8 4 2 2 2 3" xfId="5283" xr:uid="{00000000-0005-0000-0000-0000D51D0000}"/>
    <cellStyle name="Normal 8 4 2 2 2 3 2" xfId="14609" xr:uid="{32041AF8-ED9D-4C7B-8244-65439FA74F3C}"/>
    <cellStyle name="Normal 8 4 2 2 2 4" xfId="9569" xr:uid="{F21122F8-27BB-4D46-891E-281F736F5353}"/>
    <cellStyle name="Normal 8 4 2 2 2 5" xfId="10392" xr:uid="{DB731F5D-81C4-4A3A-99DF-B86548E20DE7}"/>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86F1277F-C3EE-4A7C-8DEB-4D94B46241E1}"/>
    <cellStyle name="Normal 8 4 2 2 3 2 3" xfId="12950" xr:uid="{AB8BF57E-8C68-474C-B008-6116895A7526}"/>
    <cellStyle name="Normal 8 4 2 2 3 3" xfId="5696" xr:uid="{00000000-0005-0000-0000-0000D91D0000}"/>
    <cellStyle name="Normal 8 4 2 2 3 3 2" xfId="15022" xr:uid="{0A422953-49D7-4243-B9A9-BF9825A3D98D}"/>
    <cellStyle name="Normal 8 4 2 2 3 4" xfId="10805" xr:uid="{58C7C9FF-EC83-444F-A4A4-99314B24A704}"/>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CB3BEE1D-F172-4E63-A663-EB3E84C78338}"/>
    <cellStyle name="Normal 8 4 2 2 4 2 3" xfId="13363" xr:uid="{827D136A-4822-422F-8152-A81FD551A13F}"/>
    <cellStyle name="Normal 8 4 2 2 4 3" xfId="6109" xr:uid="{00000000-0005-0000-0000-0000DD1D0000}"/>
    <cellStyle name="Normal 8 4 2 2 4 3 2" xfId="15435" xr:uid="{0AAD7077-6240-47BB-BD39-6920723B9066}"/>
    <cellStyle name="Normal 8 4 2 2 4 4" xfId="11218" xr:uid="{D9B695E1-679E-489C-8B4B-D786BEE68A80}"/>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F58B9F0F-2785-488D-9D8C-C34F898C50D3}"/>
    <cellStyle name="Normal 8 4 2 2 5 2 3" xfId="13776" xr:uid="{C0FB321B-2ABF-4CD4-A324-AC32FE892915}"/>
    <cellStyle name="Normal 8 4 2 2 5 3" xfId="6522" xr:uid="{00000000-0005-0000-0000-0000E11D0000}"/>
    <cellStyle name="Normal 8 4 2 2 5 3 2" xfId="15848" xr:uid="{6B95DCD7-FA28-40D5-93CB-AF8B376A1F11}"/>
    <cellStyle name="Normal 8 4 2 2 5 4" xfId="11631" xr:uid="{1E5491D8-603F-48BC-8078-030A8785D4A5}"/>
    <cellStyle name="Normal 8 4 2 2 6" xfId="2652" xr:uid="{00000000-0005-0000-0000-0000E21D0000}"/>
    <cellStyle name="Normal 8 4 2 2 6 2" xfId="6935" xr:uid="{00000000-0005-0000-0000-0000E31D0000}"/>
    <cellStyle name="Normal 8 4 2 2 6 2 2" xfId="16261" xr:uid="{FF2815E5-F340-40C8-BBDC-C6FA7FE2121D}"/>
    <cellStyle name="Normal 8 4 2 2 6 3" xfId="12044" xr:uid="{AF24A997-63A9-4312-90BE-7B3132017094}"/>
    <cellStyle name="Normal 8 4 2 2 7" xfId="4870" xr:uid="{00000000-0005-0000-0000-0000E41D0000}"/>
    <cellStyle name="Normal 8 4 2 2 7 2" xfId="14196" xr:uid="{9E6DC989-0ED0-4A0D-936F-A8D1B8F1B5C9}"/>
    <cellStyle name="Normal 8 4 2 2 8" xfId="9144" xr:uid="{EF6B0978-3DE8-47DC-990C-0B47AAC8F1DC}"/>
    <cellStyle name="Normal 8 4 2 2 9" xfId="9979" xr:uid="{37DEDE5D-40F5-4E6F-81C1-0C9ED769CF8C}"/>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435EC8AA-D34A-4AB7-81F3-38AC410B4404}"/>
    <cellStyle name="Normal 8 4 2 3 2 3" xfId="12536" xr:uid="{ACA7AC46-86A2-4E7A-9A87-5C45C4E1FC0B}"/>
    <cellStyle name="Normal 8 4 2 3 3" xfId="5282" xr:uid="{00000000-0005-0000-0000-0000E81D0000}"/>
    <cellStyle name="Normal 8 4 2 3 3 2" xfId="14608" xr:uid="{A89E85CE-0799-463D-B2FB-2CA07773F080}"/>
    <cellStyle name="Normal 8 4 2 3 4" xfId="9362" xr:uid="{206856BB-FDDB-4012-ABFE-5E991E477A14}"/>
    <cellStyle name="Normal 8 4 2 3 5" xfId="10391" xr:uid="{89225031-AEA3-407F-A134-A2065A01A378}"/>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357CEBC9-59AF-4D93-AAA9-C3BE1E787C1C}"/>
    <cellStyle name="Normal 8 4 2 4 2 3" xfId="12949" xr:uid="{42A0EB09-1AA8-47C8-AAF6-815A76CDB57D}"/>
    <cellStyle name="Normal 8 4 2 4 3" xfId="5695" xr:uid="{00000000-0005-0000-0000-0000EC1D0000}"/>
    <cellStyle name="Normal 8 4 2 4 3 2" xfId="15021" xr:uid="{24EC875C-FC88-451F-97AC-283AD0AC3BEC}"/>
    <cellStyle name="Normal 8 4 2 4 4" xfId="10804" xr:uid="{281025A2-B968-4178-8C10-5D42C43FC6AF}"/>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8F8525B6-FD36-4818-8E4B-43C6FEBAB870}"/>
    <cellStyle name="Normal 8 4 2 5 2 3" xfId="13362" xr:uid="{D0B2677B-58C6-4914-9CB9-BB458CF834EF}"/>
    <cellStyle name="Normal 8 4 2 5 3" xfId="6108" xr:uid="{00000000-0005-0000-0000-0000F01D0000}"/>
    <cellStyle name="Normal 8 4 2 5 3 2" xfId="15434" xr:uid="{9A1601E9-2E8C-4F53-A148-A41E8DC28AE4}"/>
    <cellStyle name="Normal 8 4 2 5 4" xfId="11217" xr:uid="{21B13B4A-75BD-4F5D-B209-D2CCF133E902}"/>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5BE7001E-55C9-4328-818F-A3126D81D6A2}"/>
    <cellStyle name="Normal 8 4 2 6 2 3" xfId="13775" xr:uid="{44D76388-4439-48E0-824E-30CD82DF7FEA}"/>
    <cellStyle name="Normal 8 4 2 6 3" xfId="6521" xr:uid="{00000000-0005-0000-0000-0000F41D0000}"/>
    <cellStyle name="Normal 8 4 2 6 3 2" xfId="15847" xr:uid="{9C17E41B-918B-4E15-9B9A-929C6E4FD4BE}"/>
    <cellStyle name="Normal 8 4 2 6 4" xfId="11630" xr:uid="{0E3EB581-D67E-43BA-B77C-BB59FDEE8E0B}"/>
    <cellStyle name="Normal 8 4 2 7" xfId="2651" xr:uid="{00000000-0005-0000-0000-0000F51D0000}"/>
    <cellStyle name="Normal 8 4 2 7 2" xfId="6934" xr:uid="{00000000-0005-0000-0000-0000F61D0000}"/>
    <cellStyle name="Normal 8 4 2 7 2 2" xfId="16260" xr:uid="{DB953146-A5A8-40E3-A7A5-80C1364046B8}"/>
    <cellStyle name="Normal 8 4 2 7 3" xfId="12043" xr:uid="{C9FA2562-34B3-4D47-B24C-48A77824057F}"/>
    <cellStyle name="Normal 8 4 2 8" xfId="4869" xr:uid="{00000000-0005-0000-0000-0000F71D0000}"/>
    <cellStyle name="Normal 8 4 2 8 2" xfId="14195" xr:uid="{E43874D5-2FBE-4048-B28B-75FDBC722D98}"/>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99825FFC-38B7-4A81-A08F-8A0E533D2F5C}"/>
    <cellStyle name="Normal 8 4 3 2 2 3" xfId="12538" xr:uid="{ACFFFB71-B6B1-4835-97E1-1750B08CE879}"/>
    <cellStyle name="Normal 8 4 3 2 3" xfId="5284" xr:uid="{00000000-0005-0000-0000-0000FC1D0000}"/>
    <cellStyle name="Normal 8 4 3 2 3 2" xfId="14610" xr:uid="{C515D009-5B8C-411B-B360-4C0479CCBC10}"/>
    <cellStyle name="Normal 8 4 3 2 4" xfId="9466" xr:uid="{4C42748F-6D34-4D0D-8AE2-FFD5C0CBE26F}"/>
    <cellStyle name="Normal 8 4 3 2 5" xfId="10393" xr:uid="{C933879D-908C-4F7F-99E9-CFE9884747FB}"/>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1F1B16DE-FF00-4BC2-963D-643E9D96BF7D}"/>
    <cellStyle name="Normal 8 4 3 3 2 3" xfId="12951" xr:uid="{79F71EDB-5722-4198-89C3-C71E012F2BFB}"/>
    <cellStyle name="Normal 8 4 3 3 3" xfId="5697" xr:uid="{00000000-0005-0000-0000-0000001E0000}"/>
    <cellStyle name="Normal 8 4 3 3 3 2" xfId="15023" xr:uid="{1C964349-FDDB-4BE3-94C9-D1AD42E3DE26}"/>
    <cellStyle name="Normal 8 4 3 3 4" xfId="10806" xr:uid="{146A5FF9-8FFB-4B2C-A8FF-5FB660433525}"/>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645B56AF-E193-4CA7-A5F3-D4483F89E8CD}"/>
    <cellStyle name="Normal 8 4 3 4 2 3" xfId="13364" xr:uid="{F9462AC9-2436-4642-B573-DBEE46FA8272}"/>
    <cellStyle name="Normal 8 4 3 4 3" xfId="6110" xr:uid="{00000000-0005-0000-0000-0000041E0000}"/>
    <cellStyle name="Normal 8 4 3 4 3 2" xfId="15436" xr:uid="{D307F7DB-81EB-40D1-A1D2-F7B278E64C39}"/>
    <cellStyle name="Normal 8 4 3 4 4" xfId="11219" xr:uid="{540657F1-726B-457B-AF47-3785AEE67060}"/>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D17C6FD7-F989-4802-90F3-E36170EA409D}"/>
    <cellStyle name="Normal 8 4 3 5 2 3" xfId="13777" xr:uid="{53B0DE6A-89BD-4755-9E7C-09E3D21AE6B4}"/>
    <cellStyle name="Normal 8 4 3 5 3" xfId="6523" xr:uid="{00000000-0005-0000-0000-0000081E0000}"/>
    <cellStyle name="Normal 8 4 3 5 3 2" xfId="15849" xr:uid="{0A460F20-0D0A-48C1-A22A-A00EEA3B1F6D}"/>
    <cellStyle name="Normal 8 4 3 5 4" xfId="11632" xr:uid="{93B9FBB3-CEBF-4A59-A3F3-2D780FF00B11}"/>
    <cellStyle name="Normal 8 4 3 6" xfId="2653" xr:uid="{00000000-0005-0000-0000-0000091E0000}"/>
    <cellStyle name="Normal 8 4 3 6 2" xfId="6936" xr:uid="{00000000-0005-0000-0000-00000A1E0000}"/>
    <cellStyle name="Normal 8 4 3 6 2 2" xfId="16262" xr:uid="{17BC2580-588B-4A2C-999E-4A3887F7DC74}"/>
    <cellStyle name="Normal 8 4 3 6 3" xfId="12045" xr:uid="{30882760-A8AA-4727-B8C5-10DA84D6D91E}"/>
    <cellStyle name="Normal 8 4 3 7" xfId="4871" xr:uid="{00000000-0005-0000-0000-00000B1E0000}"/>
    <cellStyle name="Normal 8 4 3 7 2" xfId="14197" xr:uid="{D0A4C641-D30C-4F71-967C-FF592D50E5B8}"/>
    <cellStyle name="Normal 8 4 3 8" xfId="9041" xr:uid="{3EA15F1E-D38A-4BB8-BEC6-98D9A94BB79B}"/>
    <cellStyle name="Normal 8 4 3 9" xfId="9980" xr:uid="{69E2D2EB-1D1F-4456-80FF-32A8ADC8F233}"/>
    <cellStyle name="Normal 8 4 4" xfId="970" xr:uid="{00000000-0005-0000-0000-00000C1E0000}"/>
    <cellStyle name="Normal 8 4 4 2" xfId="3204" xr:uid="{00000000-0005-0000-0000-00000D1E0000}"/>
    <cellStyle name="Normal 8 4 4 2 2" xfId="7426" xr:uid="{00000000-0005-0000-0000-00000E1E0000}"/>
    <cellStyle name="Normal 8 4 4 2 2 2" xfId="16752" xr:uid="{45F42E02-9DDC-40B5-B715-8A8468307C11}"/>
    <cellStyle name="Normal 8 4 4 2 3" xfId="12535" xr:uid="{551B5E9B-FD31-4DB1-9A2D-7D3B944FDAEB}"/>
    <cellStyle name="Normal 8 4 4 3" xfId="5281" xr:uid="{00000000-0005-0000-0000-00000F1E0000}"/>
    <cellStyle name="Normal 8 4 4 3 2" xfId="14607" xr:uid="{8B9CB9F6-C9B1-44EE-8406-BBA5CBAEEC03}"/>
    <cellStyle name="Normal 8 4 4 4" xfId="9259" xr:uid="{45904BAA-3C39-482B-A2B6-0FB84C0B889C}"/>
    <cellStyle name="Normal 8 4 4 5" xfId="10390" xr:uid="{F01E2BF4-ACA7-48F7-A2C5-954BE4C28C41}"/>
    <cellStyle name="Normal 8 4 5" xfId="1387" xr:uid="{00000000-0005-0000-0000-0000101E0000}"/>
    <cellStyle name="Normal 8 4 5 2" xfId="3617" xr:uid="{00000000-0005-0000-0000-0000111E0000}"/>
    <cellStyle name="Normal 8 4 5 2 2" xfId="7839" xr:uid="{00000000-0005-0000-0000-0000121E0000}"/>
    <cellStyle name="Normal 8 4 5 2 2 2" xfId="17165" xr:uid="{D5C28D6D-FE2D-479F-8AAF-B23BA2B0A322}"/>
    <cellStyle name="Normal 8 4 5 2 3" xfId="12948" xr:uid="{AAB13B02-C77A-4AD1-9981-CDB6E3F4BBDC}"/>
    <cellStyle name="Normal 8 4 5 3" xfId="5694" xr:uid="{00000000-0005-0000-0000-0000131E0000}"/>
    <cellStyle name="Normal 8 4 5 3 2" xfId="15020" xr:uid="{4A67CD7B-3BF8-48C1-9A05-D74471A7FADE}"/>
    <cellStyle name="Normal 8 4 5 4" xfId="10803" xr:uid="{B7E99932-E6C1-44A0-903E-B053D0519E81}"/>
    <cellStyle name="Normal 8 4 6" xfId="1800" xr:uid="{00000000-0005-0000-0000-0000141E0000}"/>
    <cellStyle name="Normal 8 4 6 2" xfId="4030" xr:uid="{00000000-0005-0000-0000-0000151E0000}"/>
    <cellStyle name="Normal 8 4 6 2 2" xfId="8252" xr:uid="{00000000-0005-0000-0000-0000161E0000}"/>
    <cellStyle name="Normal 8 4 6 2 2 2" xfId="17578" xr:uid="{9C6BE9CD-2C8B-450D-88F9-DE247DADB1A7}"/>
    <cellStyle name="Normal 8 4 6 2 3" xfId="13361" xr:uid="{D2465680-3863-4758-A489-9626F2C83390}"/>
    <cellStyle name="Normal 8 4 6 3" xfId="6107" xr:uid="{00000000-0005-0000-0000-0000171E0000}"/>
    <cellStyle name="Normal 8 4 6 3 2" xfId="15433" xr:uid="{5FE3995E-5891-47D2-BCB7-9C390E789218}"/>
    <cellStyle name="Normal 8 4 6 4" xfId="11216" xr:uid="{D90B0352-4315-4BCB-A936-F49D883FA786}"/>
    <cellStyle name="Normal 8 4 7" xfId="2214" xr:uid="{00000000-0005-0000-0000-0000181E0000}"/>
    <cellStyle name="Normal 8 4 7 2" xfId="4443" xr:uid="{00000000-0005-0000-0000-0000191E0000}"/>
    <cellStyle name="Normal 8 4 7 2 2" xfId="8665" xr:uid="{00000000-0005-0000-0000-00001A1E0000}"/>
    <cellStyle name="Normal 8 4 7 2 2 2" xfId="17991" xr:uid="{D65E189A-3524-45B0-AA06-2DE7E9573219}"/>
    <cellStyle name="Normal 8 4 7 2 3" xfId="13774" xr:uid="{66FF8700-9C32-497C-9CA7-3924DB8AC1D3}"/>
    <cellStyle name="Normal 8 4 7 3" xfId="6520" xr:uid="{00000000-0005-0000-0000-00001B1E0000}"/>
    <cellStyle name="Normal 8 4 7 3 2" xfId="15846" xr:uid="{6AA96240-0960-4A0A-B915-AC2A30F61EFD}"/>
    <cellStyle name="Normal 8 4 7 4" xfId="11629" xr:uid="{7553E3DC-B29D-4156-B72D-289D321A01C6}"/>
    <cellStyle name="Normal 8 4 8" xfId="2650" xr:uid="{00000000-0005-0000-0000-00001C1E0000}"/>
    <cellStyle name="Normal 8 4 8 2" xfId="6933" xr:uid="{00000000-0005-0000-0000-00001D1E0000}"/>
    <cellStyle name="Normal 8 4 8 2 2" xfId="16259" xr:uid="{90D0E580-E2E9-4A64-A665-48DDFCBA1FC8}"/>
    <cellStyle name="Normal 8 4 8 3" xfId="12042" xr:uid="{9664645A-1973-44BF-9B5D-E86FBA162B45}"/>
    <cellStyle name="Normal 8 4 9" xfId="4868" xr:uid="{00000000-0005-0000-0000-00001E1E0000}"/>
    <cellStyle name="Normal 8 4 9 2" xfId="14194" xr:uid="{7A258990-61D4-4A2A-BD7D-4BA04479BF3B}"/>
    <cellStyle name="Normal 8 5" xfId="507" xr:uid="{00000000-0005-0000-0000-00001F1E0000}"/>
    <cellStyle name="Normal 8 5 10" xfId="9981" xr:uid="{C52EBF9F-8443-49A9-9892-D494D9E4FD7A}"/>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7FE1094E-F089-4752-8B44-8F51B9D2380C}"/>
    <cellStyle name="Normal 8 5 2 2 2 3" xfId="12540" xr:uid="{32FFC7C4-4C8B-4876-9E97-A98966425D3D}"/>
    <cellStyle name="Normal 8 5 2 2 3" xfId="5286" xr:uid="{00000000-0005-0000-0000-0000241E0000}"/>
    <cellStyle name="Normal 8 5 2 2 3 2" xfId="14612" xr:uid="{55A7B032-4112-42A9-B4F8-7B7C1B0B77A4}"/>
    <cellStyle name="Normal 8 5 2 2 4" xfId="9477" xr:uid="{62ED1F43-6081-4B0B-94C3-5999D37D11C7}"/>
    <cellStyle name="Normal 8 5 2 2 5" xfId="10395" xr:uid="{725134A8-CC96-4D64-B940-C08BFDDE485F}"/>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8E29B728-F1AC-4070-8335-8D0DA962983F}"/>
    <cellStyle name="Normal 8 5 2 3 2 3" xfId="12953" xr:uid="{98D33E90-0C85-4974-A1DC-5EFE3D5FE2D1}"/>
    <cellStyle name="Normal 8 5 2 3 3" xfId="5699" xr:uid="{00000000-0005-0000-0000-0000281E0000}"/>
    <cellStyle name="Normal 8 5 2 3 3 2" xfId="15025" xr:uid="{6B57FE54-9CC2-44F3-9E8F-E53F2C1F8207}"/>
    <cellStyle name="Normal 8 5 2 3 4" xfId="10808" xr:uid="{B043B8C8-EAAA-4440-A1A4-AD58DF031F4E}"/>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58BA11DC-5E2A-4779-9DC9-4E7582396335}"/>
    <cellStyle name="Normal 8 5 2 4 2 3" xfId="13366" xr:uid="{6A9172CD-2B61-4815-9883-1CEAB769361D}"/>
    <cellStyle name="Normal 8 5 2 4 3" xfId="6112" xr:uid="{00000000-0005-0000-0000-00002C1E0000}"/>
    <cellStyle name="Normal 8 5 2 4 3 2" xfId="15438" xr:uid="{0F8CC808-1765-4DB5-96F2-FC3DD8078D34}"/>
    <cellStyle name="Normal 8 5 2 4 4" xfId="11221" xr:uid="{E386AD61-D0C9-4263-A0E8-20942B3ADB3E}"/>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1B158892-3102-4DC2-8C5A-9D00D491C117}"/>
    <cellStyle name="Normal 8 5 2 5 2 3" xfId="13779" xr:uid="{EBB4D053-874D-410B-8179-0BECEA77A2FE}"/>
    <cellStyle name="Normal 8 5 2 5 3" xfId="6525" xr:uid="{00000000-0005-0000-0000-0000301E0000}"/>
    <cellStyle name="Normal 8 5 2 5 3 2" xfId="15851" xr:uid="{664D1BDC-56BC-43F1-92E3-975976887D45}"/>
    <cellStyle name="Normal 8 5 2 5 4" xfId="11634" xr:uid="{F2BEC206-32A7-4214-8661-6846525738F6}"/>
    <cellStyle name="Normal 8 5 2 6" xfId="2655" xr:uid="{00000000-0005-0000-0000-0000311E0000}"/>
    <cellStyle name="Normal 8 5 2 6 2" xfId="6938" xr:uid="{00000000-0005-0000-0000-0000321E0000}"/>
    <cellStyle name="Normal 8 5 2 6 2 2" xfId="16264" xr:uid="{8C503210-B1D0-46A5-9755-9D8409A30FA2}"/>
    <cellStyle name="Normal 8 5 2 6 3" xfId="12047" xr:uid="{E79F8639-CEFE-4F2E-B3DA-CCACA161C616}"/>
    <cellStyle name="Normal 8 5 2 7" xfId="4873" xr:uid="{00000000-0005-0000-0000-0000331E0000}"/>
    <cellStyle name="Normal 8 5 2 7 2" xfId="14199" xr:uid="{3B43A532-C77F-443A-BBE8-9E7B555FDB65}"/>
    <cellStyle name="Normal 8 5 2 8" xfId="9052" xr:uid="{D754D15A-EECE-4975-9542-AF3C340304E3}"/>
    <cellStyle name="Normal 8 5 2 9" xfId="9982" xr:uid="{03C7E097-9CB4-4576-9F03-56130A46BD3A}"/>
    <cellStyle name="Normal 8 5 3" xfId="974" xr:uid="{00000000-0005-0000-0000-0000341E0000}"/>
    <cellStyle name="Normal 8 5 3 2" xfId="3208" xr:uid="{00000000-0005-0000-0000-0000351E0000}"/>
    <cellStyle name="Normal 8 5 3 2 2" xfId="7430" xr:uid="{00000000-0005-0000-0000-0000361E0000}"/>
    <cellStyle name="Normal 8 5 3 2 2 2" xfId="16756" xr:uid="{2A9C5CB0-E8A7-4CBC-B07E-0093F48F2417}"/>
    <cellStyle name="Normal 8 5 3 2 3" xfId="12539" xr:uid="{48F283F0-3CBF-4C89-B90B-70DCCF27EA83}"/>
    <cellStyle name="Normal 8 5 3 3" xfId="5285" xr:uid="{00000000-0005-0000-0000-0000371E0000}"/>
    <cellStyle name="Normal 8 5 3 3 2" xfId="14611" xr:uid="{89F13D62-295A-465C-93CD-6D3FB6112EF4}"/>
    <cellStyle name="Normal 8 5 3 4" xfId="9270" xr:uid="{88F9D262-71F2-4DD2-A7F6-B0DCE74ABD45}"/>
    <cellStyle name="Normal 8 5 3 5" xfId="10394" xr:uid="{D1D42C72-2023-465B-9C82-53C3E65F1170}"/>
    <cellStyle name="Normal 8 5 4" xfId="1391" xr:uid="{00000000-0005-0000-0000-0000381E0000}"/>
    <cellStyle name="Normal 8 5 4 2" xfId="3621" xr:uid="{00000000-0005-0000-0000-0000391E0000}"/>
    <cellStyle name="Normal 8 5 4 2 2" xfId="7843" xr:uid="{00000000-0005-0000-0000-00003A1E0000}"/>
    <cellStyle name="Normal 8 5 4 2 2 2" xfId="17169" xr:uid="{F570F951-D288-44EC-9E22-A103A726DD5A}"/>
    <cellStyle name="Normal 8 5 4 2 3" xfId="12952" xr:uid="{081F51D3-7E23-4EEF-8A4F-F79C9E69EDB9}"/>
    <cellStyle name="Normal 8 5 4 3" xfId="5698" xr:uid="{00000000-0005-0000-0000-00003B1E0000}"/>
    <cellStyle name="Normal 8 5 4 3 2" xfId="15024" xr:uid="{F1F64564-5360-447E-AA2E-ED59254E1A96}"/>
    <cellStyle name="Normal 8 5 4 4" xfId="10807" xr:uid="{D2A9C2C4-F706-4E1C-A1EC-066F2FDD8B26}"/>
    <cellStyle name="Normal 8 5 5" xfId="1804" xr:uid="{00000000-0005-0000-0000-00003C1E0000}"/>
    <cellStyle name="Normal 8 5 5 2" xfId="4034" xr:uid="{00000000-0005-0000-0000-00003D1E0000}"/>
    <cellStyle name="Normal 8 5 5 2 2" xfId="8256" xr:uid="{00000000-0005-0000-0000-00003E1E0000}"/>
    <cellStyle name="Normal 8 5 5 2 2 2" xfId="17582" xr:uid="{B5B4DB42-0E68-4BB2-9F92-3BD0ED09792B}"/>
    <cellStyle name="Normal 8 5 5 2 3" xfId="13365" xr:uid="{F670196C-B1DE-4895-B45B-8095269177BD}"/>
    <cellStyle name="Normal 8 5 5 3" xfId="6111" xr:uid="{00000000-0005-0000-0000-00003F1E0000}"/>
    <cellStyle name="Normal 8 5 5 3 2" xfId="15437" xr:uid="{C8513972-7EF7-4064-B5D5-65644ED7FA10}"/>
    <cellStyle name="Normal 8 5 5 4" xfId="11220" xr:uid="{3045E29A-0F14-4013-8D62-DD7E79440691}"/>
    <cellStyle name="Normal 8 5 6" xfId="2218" xr:uid="{00000000-0005-0000-0000-0000401E0000}"/>
    <cellStyle name="Normal 8 5 6 2" xfId="4447" xr:uid="{00000000-0005-0000-0000-0000411E0000}"/>
    <cellStyle name="Normal 8 5 6 2 2" xfId="8669" xr:uid="{00000000-0005-0000-0000-0000421E0000}"/>
    <cellStyle name="Normal 8 5 6 2 2 2" xfId="17995" xr:uid="{51982A7B-EE27-4B9E-9973-7F5E7CA298FB}"/>
    <cellStyle name="Normal 8 5 6 2 3" xfId="13778" xr:uid="{5EE2A0F1-B52B-4394-8325-CE79B5DE2374}"/>
    <cellStyle name="Normal 8 5 6 3" xfId="6524" xr:uid="{00000000-0005-0000-0000-0000431E0000}"/>
    <cellStyle name="Normal 8 5 6 3 2" xfId="15850" xr:uid="{D4B927A0-0374-49EE-82EA-411F8324D36C}"/>
    <cellStyle name="Normal 8 5 6 4" xfId="11633" xr:uid="{476669C2-6B66-42DD-AF7A-D146FE082E45}"/>
    <cellStyle name="Normal 8 5 7" xfId="2654" xr:uid="{00000000-0005-0000-0000-0000441E0000}"/>
    <cellStyle name="Normal 8 5 7 2" xfId="6937" xr:uid="{00000000-0005-0000-0000-0000451E0000}"/>
    <cellStyle name="Normal 8 5 7 2 2" xfId="16263" xr:uid="{BA56B823-C015-4152-98AE-9610BB23ED11}"/>
    <cellStyle name="Normal 8 5 7 3" xfId="12046" xr:uid="{BBD0875F-6017-416C-8440-EDD91B23F8C5}"/>
    <cellStyle name="Normal 8 5 8" xfId="4872" xr:uid="{00000000-0005-0000-0000-0000461E0000}"/>
    <cellStyle name="Normal 8 5 8 2" xfId="14198" xr:uid="{96060046-006D-4493-956C-1483F91C96F5}"/>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1FF815E9-23E6-431F-994B-C0ED28D5A733}"/>
    <cellStyle name="Normal 8 6 2 2 3" xfId="12541" xr:uid="{48B5F244-C36D-4A2E-9861-894977777A12}"/>
    <cellStyle name="Normal 8 6 2 3" xfId="5287" xr:uid="{00000000-0005-0000-0000-00004B1E0000}"/>
    <cellStyle name="Normal 8 6 2 3 2" xfId="14613" xr:uid="{2984737B-A97D-4116-9A2F-C2FBAA70E32F}"/>
    <cellStyle name="Normal 8 6 2 4" xfId="9386" xr:uid="{45A5CE0D-B006-45BB-A53E-22B23F4367E3}"/>
    <cellStyle name="Normal 8 6 2 5" xfId="10396" xr:uid="{59FD5695-A5C0-4C63-BBFB-C5EA2814A155}"/>
    <cellStyle name="Normal 8 6 3" xfId="1393" xr:uid="{00000000-0005-0000-0000-00004C1E0000}"/>
    <cellStyle name="Normal 8 6 3 2" xfId="3623" xr:uid="{00000000-0005-0000-0000-00004D1E0000}"/>
    <cellStyle name="Normal 8 6 3 2 2" xfId="7845" xr:uid="{00000000-0005-0000-0000-00004E1E0000}"/>
    <cellStyle name="Normal 8 6 3 2 2 2" xfId="17171" xr:uid="{9EDB5836-8AA3-4910-964F-B4E3145E3DA1}"/>
    <cellStyle name="Normal 8 6 3 2 3" xfId="12954" xr:uid="{9C0FBF98-5122-4DC6-8BDA-0283F572CA1B}"/>
    <cellStyle name="Normal 8 6 3 3" xfId="5700" xr:uid="{00000000-0005-0000-0000-00004F1E0000}"/>
    <cellStyle name="Normal 8 6 3 3 2" xfId="15026" xr:uid="{46A13CC3-61F9-4FB0-8FF2-DA4B16DDC38A}"/>
    <cellStyle name="Normal 8 6 3 4" xfId="10809" xr:uid="{3784B25C-6AF3-4AE0-BCAB-333570449EA2}"/>
    <cellStyle name="Normal 8 6 4" xfId="1806" xr:uid="{00000000-0005-0000-0000-0000501E0000}"/>
    <cellStyle name="Normal 8 6 4 2" xfId="4036" xr:uid="{00000000-0005-0000-0000-0000511E0000}"/>
    <cellStyle name="Normal 8 6 4 2 2" xfId="8258" xr:uid="{00000000-0005-0000-0000-0000521E0000}"/>
    <cellStyle name="Normal 8 6 4 2 2 2" xfId="17584" xr:uid="{6898A054-3159-49B3-A9C5-700C2A7DF071}"/>
    <cellStyle name="Normal 8 6 4 2 3" xfId="13367" xr:uid="{88ADEAB7-16D3-4C3C-943D-282468B1C83B}"/>
    <cellStyle name="Normal 8 6 4 3" xfId="6113" xr:uid="{00000000-0005-0000-0000-0000531E0000}"/>
    <cellStyle name="Normal 8 6 4 3 2" xfId="15439" xr:uid="{BDE6CCDF-C4F2-4F49-B786-B7D7124B2034}"/>
    <cellStyle name="Normal 8 6 4 4" xfId="11222" xr:uid="{C333F2D8-1ED0-4D47-873F-4A910B674626}"/>
    <cellStyle name="Normal 8 6 5" xfId="2220" xr:uid="{00000000-0005-0000-0000-0000541E0000}"/>
    <cellStyle name="Normal 8 6 5 2" xfId="4449" xr:uid="{00000000-0005-0000-0000-0000551E0000}"/>
    <cellStyle name="Normal 8 6 5 2 2" xfId="8671" xr:uid="{00000000-0005-0000-0000-0000561E0000}"/>
    <cellStyle name="Normal 8 6 5 2 2 2" xfId="17997" xr:uid="{0C2B7A1A-AC1E-41A2-8AEF-74D013FAD07E}"/>
    <cellStyle name="Normal 8 6 5 2 3" xfId="13780" xr:uid="{ED65138F-A2D2-4BE8-9E35-C62E3093C746}"/>
    <cellStyle name="Normal 8 6 5 3" xfId="6526" xr:uid="{00000000-0005-0000-0000-0000571E0000}"/>
    <cellStyle name="Normal 8 6 5 3 2" xfId="15852" xr:uid="{F4E78CD1-EE3B-404A-AD74-B3F800720F9B}"/>
    <cellStyle name="Normal 8 6 5 4" xfId="11635" xr:uid="{8123FDFE-F9F5-43EE-AA64-8BEF98AFCCF4}"/>
    <cellStyle name="Normal 8 6 6" xfId="2656" xr:uid="{00000000-0005-0000-0000-0000581E0000}"/>
    <cellStyle name="Normal 8 6 6 2" xfId="6939" xr:uid="{00000000-0005-0000-0000-0000591E0000}"/>
    <cellStyle name="Normal 8 6 6 2 2" xfId="16265" xr:uid="{4A2C6E60-E958-4E7F-8419-D35F73B26AFA}"/>
    <cellStyle name="Normal 8 6 6 3" xfId="12048" xr:uid="{1E2A2262-061E-471A-B841-3B5A178B08C8}"/>
    <cellStyle name="Normal 8 6 7" xfId="4874" xr:uid="{00000000-0005-0000-0000-00005A1E0000}"/>
    <cellStyle name="Normal 8 6 7 2" xfId="14200" xr:uid="{689273D3-AC22-4893-8FF2-DF14BDB03C69}"/>
    <cellStyle name="Normal 8 6 8" xfId="8961" xr:uid="{36060843-7B38-46C3-B2F1-7172ECB11EEE}"/>
    <cellStyle name="Normal 8 6 9" xfId="9983" xr:uid="{6AF21368-C563-4935-97AA-2BBE19A163A3}"/>
    <cellStyle name="Normal 8 7" xfId="945" xr:uid="{00000000-0005-0000-0000-00005B1E0000}"/>
    <cellStyle name="Normal 8 7 2" xfId="3179" xr:uid="{00000000-0005-0000-0000-00005C1E0000}"/>
    <cellStyle name="Normal 8 7 2 2" xfId="7401" xr:uid="{00000000-0005-0000-0000-00005D1E0000}"/>
    <cellStyle name="Normal 8 7 2 2 2" xfId="16727" xr:uid="{8FD78DA7-A0C4-496E-BCB5-30C7DF034872}"/>
    <cellStyle name="Normal 8 7 2 3" xfId="12510" xr:uid="{A4966A85-4CFE-4AA8-94B4-135F0C3C831E}"/>
    <cellStyle name="Normal 8 7 3" xfId="5256" xr:uid="{00000000-0005-0000-0000-00005E1E0000}"/>
    <cellStyle name="Normal 8 7 3 2" xfId="14582" xr:uid="{267FE60B-AB12-4050-A903-F79B45EC931B}"/>
    <cellStyle name="Normal 8 7 4" xfId="9164" xr:uid="{EA2ADDDA-E9AC-4FF8-B08B-61B1D6489A46}"/>
    <cellStyle name="Normal 8 7 5" xfId="10365" xr:uid="{09985EBF-BBA6-4C40-BC77-9368EF2CEEB5}"/>
    <cellStyle name="Normal 8 8" xfId="1362" xr:uid="{00000000-0005-0000-0000-00005F1E0000}"/>
    <cellStyle name="Normal 8 8 2" xfId="3592" xr:uid="{00000000-0005-0000-0000-0000601E0000}"/>
    <cellStyle name="Normal 8 8 2 2" xfId="7814" xr:uid="{00000000-0005-0000-0000-0000611E0000}"/>
    <cellStyle name="Normal 8 8 2 2 2" xfId="17140" xr:uid="{A0566141-AD2C-4A74-A523-3A29E2E889E6}"/>
    <cellStyle name="Normal 8 8 2 3" xfId="12923" xr:uid="{17D51108-49F3-481A-BA9F-7BCC370EB9D5}"/>
    <cellStyle name="Normal 8 8 3" xfId="5669" xr:uid="{00000000-0005-0000-0000-0000621E0000}"/>
    <cellStyle name="Normal 8 8 3 2" xfId="14995" xr:uid="{F52A71E1-776E-45FE-9393-865B7EEAB491}"/>
    <cellStyle name="Normal 8 8 4" xfId="10778" xr:uid="{575FD08F-5930-4866-830E-89A4DA4DA2E7}"/>
    <cellStyle name="Normal 8 9" xfId="1775" xr:uid="{00000000-0005-0000-0000-0000631E0000}"/>
    <cellStyle name="Normal 8 9 2" xfId="4005" xr:uid="{00000000-0005-0000-0000-0000641E0000}"/>
    <cellStyle name="Normal 8 9 2 2" xfId="8227" xr:uid="{00000000-0005-0000-0000-0000651E0000}"/>
    <cellStyle name="Normal 8 9 2 2 2" xfId="17553" xr:uid="{3DCED557-D9DC-407E-B038-5AE80DC08C51}"/>
    <cellStyle name="Normal 8 9 2 3" xfId="13336" xr:uid="{FD634077-50B7-4084-B715-794DB944CCCC}"/>
    <cellStyle name="Normal 8 9 3" xfId="6082" xr:uid="{00000000-0005-0000-0000-0000661E0000}"/>
    <cellStyle name="Normal 8 9 3 2" xfId="15408" xr:uid="{853DD723-3E17-4A76-8C98-7FECCDAB16F6}"/>
    <cellStyle name="Normal 8 9 4" xfId="11191" xr:uid="{5807F89D-3DA8-4590-9307-A2A3348430B2}"/>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F22E13A5-96C3-4CB7-AF6C-CD64D5228B23}"/>
    <cellStyle name="Normal 9 2 10 3" xfId="12049" xr:uid="{9ECB1B82-8C7C-479E-9A64-374BA4BAA624}"/>
    <cellStyle name="Normal 9 2 11" xfId="4875" xr:uid="{00000000-0005-0000-0000-00006B1E0000}"/>
    <cellStyle name="Normal 9 2 11 2" xfId="14201" xr:uid="{6F13D232-5D12-442A-8554-B73B2FFC523D}"/>
    <cellStyle name="Normal 9 2 12" xfId="8754" xr:uid="{9024D06A-4C5F-4C89-BCDB-29B8C924FF52}"/>
    <cellStyle name="Normal 9 2 13" xfId="9984" xr:uid="{25879FA7-EE71-4D35-8BD4-97F0A3C45BA0}"/>
    <cellStyle name="Normal 9 2 2" xfId="512" xr:uid="{00000000-0005-0000-0000-00006C1E0000}"/>
    <cellStyle name="Normal 9 2 2 10" xfId="4876" xr:uid="{00000000-0005-0000-0000-00006D1E0000}"/>
    <cellStyle name="Normal 9 2 2 10 2" xfId="14202" xr:uid="{0764543C-D078-48E7-A866-D89F258CE474}"/>
    <cellStyle name="Normal 9 2 2 11" xfId="8785" xr:uid="{3048542E-ED39-45ED-9C91-0140D2CF60D9}"/>
    <cellStyle name="Normal 9 2 2 12" xfId="9985" xr:uid="{4AD49398-7663-45C0-8FA6-C788C849A4DD}"/>
    <cellStyle name="Normal 9 2 2 2" xfId="513" xr:uid="{00000000-0005-0000-0000-00006E1E0000}"/>
    <cellStyle name="Normal 9 2 2 2 10" xfId="8839" xr:uid="{3B2DC7F4-4F49-4AE2-9279-EFD4857A149B}"/>
    <cellStyle name="Normal 9 2 2 2 11" xfId="9986" xr:uid="{1C05CA66-438C-4C22-B119-65965BEF311D}"/>
    <cellStyle name="Normal 9 2 2 2 2" xfId="514" xr:uid="{00000000-0005-0000-0000-00006F1E0000}"/>
    <cellStyle name="Normal 9 2 2 2 2 10" xfId="9987" xr:uid="{72715BAB-770D-4D8B-8204-2AC27E7B1334}"/>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74F315D5-A1D9-4635-B491-2F329000DB04}"/>
    <cellStyle name="Normal 9 2 2 2 2 2 2 2 3" xfId="12546" xr:uid="{BF832F01-0EE9-4F8C-B8B9-40AA50801BA4}"/>
    <cellStyle name="Normal 9 2 2 2 2 2 2 3" xfId="5292" xr:uid="{00000000-0005-0000-0000-0000741E0000}"/>
    <cellStyle name="Normal 9 2 2 2 2 2 2 3 2" xfId="14618" xr:uid="{AB052711-A417-4BF4-A821-F6F6D8BB6B53}"/>
    <cellStyle name="Normal 9 2 2 2 2 2 2 4" xfId="9574" xr:uid="{00EB170D-8A20-4280-B781-E452C3590555}"/>
    <cellStyle name="Normal 9 2 2 2 2 2 2 5" xfId="10401" xr:uid="{3487BF0C-F366-4029-A389-1E85B7DB6EDF}"/>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A2A3B9D3-0B9C-489B-AB28-16F3804B6B19}"/>
    <cellStyle name="Normal 9 2 2 2 2 2 3 2 3" xfId="12959" xr:uid="{AC57D328-3015-4FB1-85DE-C36E96C7CB35}"/>
    <cellStyle name="Normal 9 2 2 2 2 2 3 3" xfId="5705" xr:uid="{00000000-0005-0000-0000-0000781E0000}"/>
    <cellStyle name="Normal 9 2 2 2 2 2 3 3 2" xfId="15031" xr:uid="{16330A91-1513-4353-9E32-366C0C5B85D2}"/>
    <cellStyle name="Normal 9 2 2 2 2 2 3 4" xfId="10814" xr:uid="{CC6BCE1B-E315-457B-A807-D7A4B6C5925D}"/>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76588FAA-7101-499C-8AA0-16DD8A49E2BC}"/>
    <cellStyle name="Normal 9 2 2 2 2 2 4 2 3" xfId="13372" xr:uid="{F6C3F250-9EA1-42C1-86F9-074D84BF962B}"/>
    <cellStyle name="Normal 9 2 2 2 2 2 4 3" xfId="6118" xr:uid="{00000000-0005-0000-0000-00007C1E0000}"/>
    <cellStyle name="Normal 9 2 2 2 2 2 4 3 2" xfId="15444" xr:uid="{89757CA7-ECAD-4EA0-8357-A74BE5755159}"/>
    <cellStyle name="Normal 9 2 2 2 2 2 4 4" xfId="11227" xr:uid="{A3FDBCD6-2336-4462-8361-B4812D96C15D}"/>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63E678E1-3EBE-450A-B5F0-83AE6713A084}"/>
    <cellStyle name="Normal 9 2 2 2 2 2 5 2 3" xfId="13785" xr:uid="{C5F25B58-FF9E-40E9-A0CC-D0178C71362B}"/>
    <cellStyle name="Normal 9 2 2 2 2 2 5 3" xfId="6531" xr:uid="{00000000-0005-0000-0000-0000801E0000}"/>
    <cellStyle name="Normal 9 2 2 2 2 2 5 3 2" xfId="15857" xr:uid="{95BE91E1-9D0A-41B6-B3E7-B805951F3923}"/>
    <cellStyle name="Normal 9 2 2 2 2 2 5 4" xfId="11640" xr:uid="{E237712F-2CDA-405A-AD5C-936056227845}"/>
    <cellStyle name="Normal 9 2 2 2 2 2 6" xfId="2661" xr:uid="{00000000-0005-0000-0000-0000811E0000}"/>
    <cellStyle name="Normal 9 2 2 2 2 2 6 2" xfId="6944" xr:uid="{00000000-0005-0000-0000-0000821E0000}"/>
    <cellStyle name="Normal 9 2 2 2 2 2 6 2 2" xfId="16270" xr:uid="{A923C296-0EF0-4C06-A9B1-BF97DA525CBA}"/>
    <cellStyle name="Normal 9 2 2 2 2 2 6 3" xfId="12053" xr:uid="{D24B2AB6-932E-4CF1-B0FA-16B6281F3DB1}"/>
    <cellStyle name="Normal 9 2 2 2 2 2 7" xfId="4879" xr:uid="{00000000-0005-0000-0000-0000831E0000}"/>
    <cellStyle name="Normal 9 2 2 2 2 2 7 2" xfId="14205" xr:uid="{1DADF3B9-8B87-437E-8AF1-E16D7755E85B}"/>
    <cellStyle name="Normal 9 2 2 2 2 2 8" xfId="9149" xr:uid="{6C0BEC1E-EE3B-4956-830C-8775C93DB46A}"/>
    <cellStyle name="Normal 9 2 2 2 2 2 9" xfId="9988" xr:uid="{9D148134-4A38-418C-9963-854B8475D16E}"/>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0393D814-9671-4549-8240-E3EF634AA488}"/>
    <cellStyle name="Normal 9 2 2 2 2 3 2 3" xfId="12545" xr:uid="{6D09C3A2-B05C-4C84-9176-572A983A1024}"/>
    <cellStyle name="Normal 9 2 2 2 2 3 3" xfId="5291" xr:uid="{00000000-0005-0000-0000-0000871E0000}"/>
    <cellStyle name="Normal 9 2 2 2 2 3 3 2" xfId="14617" xr:uid="{69BC2FBB-1CE3-43BA-99D4-61A8C84003F8}"/>
    <cellStyle name="Normal 9 2 2 2 2 3 4" xfId="9367" xr:uid="{4A654E22-020A-4B0F-8753-639C44EA908A}"/>
    <cellStyle name="Normal 9 2 2 2 2 3 5" xfId="10400" xr:uid="{A2F5307F-2091-404A-87B4-95A8A4F8181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44549D7D-AEE2-4368-81F5-678B0EBE5D95}"/>
    <cellStyle name="Normal 9 2 2 2 2 4 2 3" xfId="12958" xr:uid="{33697A08-412B-449E-88C3-79C9FD3C22B2}"/>
    <cellStyle name="Normal 9 2 2 2 2 4 3" xfId="5704" xr:uid="{00000000-0005-0000-0000-00008B1E0000}"/>
    <cellStyle name="Normal 9 2 2 2 2 4 3 2" xfId="15030" xr:uid="{74BC6854-26E6-453F-82FB-7122FE5C1D6B}"/>
    <cellStyle name="Normal 9 2 2 2 2 4 4" xfId="10813" xr:uid="{8C857FF2-30B4-442D-B263-5BF2A5EAF875}"/>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06C971E1-8CD0-4ECF-82A6-A468DE3E61C6}"/>
    <cellStyle name="Normal 9 2 2 2 2 5 2 3" xfId="13371" xr:uid="{A889FEEA-96C7-405D-8F06-07BA57E95F96}"/>
    <cellStyle name="Normal 9 2 2 2 2 5 3" xfId="6117" xr:uid="{00000000-0005-0000-0000-00008F1E0000}"/>
    <cellStyle name="Normal 9 2 2 2 2 5 3 2" xfId="15443" xr:uid="{C8E98EEC-B770-4A3E-B020-F6A09B607AEC}"/>
    <cellStyle name="Normal 9 2 2 2 2 5 4" xfId="11226" xr:uid="{9495C4D8-0487-45CE-9C21-F4793D6C3C6C}"/>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25A87365-1E46-43FF-A90C-C4E6B352DE9B}"/>
    <cellStyle name="Normal 9 2 2 2 2 6 2 3" xfId="13784" xr:uid="{DC946422-30EB-4DC3-94A8-62A2D1EEB6F1}"/>
    <cellStyle name="Normal 9 2 2 2 2 6 3" xfId="6530" xr:uid="{00000000-0005-0000-0000-0000931E0000}"/>
    <cellStyle name="Normal 9 2 2 2 2 6 3 2" xfId="15856" xr:uid="{AAA6D784-45FA-4EA0-9AEE-50AD6C890FF0}"/>
    <cellStyle name="Normal 9 2 2 2 2 6 4" xfId="11639" xr:uid="{94F756F7-E4DE-4DC5-AF79-AC7AD3E70EAF}"/>
    <cellStyle name="Normal 9 2 2 2 2 7" xfId="2660" xr:uid="{00000000-0005-0000-0000-0000941E0000}"/>
    <cellStyle name="Normal 9 2 2 2 2 7 2" xfId="6943" xr:uid="{00000000-0005-0000-0000-0000951E0000}"/>
    <cellStyle name="Normal 9 2 2 2 2 7 2 2" xfId="16269" xr:uid="{66ED4E86-C7FF-4F84-A98A-DEE8A36E987F}"/>
    <cellStyle name="Normal 9 2 2 2 2 7 3" xfId="12052" xr:uid="{F85AD912-531E-480E-BDC0-69A0FC17CD07}"/>
    <cellStyle name="Normal 9 2 2 2 2 8" xfId="4878" xr:uid="{00000000-0005-0000-0000-0000961E0000}"/>
    <cellStyle name="Normal 9 2 2 2 2 8 2" xfId="14204" xr:uid="{8CBAE63D-12AF-4A05-8D64-0A811F3018BE}"/>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77090614-FEB9-4735-A85A-7565A5835D57}"/>
    <cellStyle name="Normal 9 2 2 2 3 2 2 3" xfId="12547" xr:uid="{890FC313-06CB-44B3-BE27-CAC92C2EEF7D}"/>
    <cellStyle name="Normal 9 2 2 2 3 2 3" xfId="5293" xr:uid="{00000000-0005-0000-0000-00009B1E0000}"/>
    <cellStyle name="Normal 9 2 2 2 3 2 3 2" xfId="14619" xr:uid="{4B62D20F-04BE-43FA-8962-55C8684EC54B}"/>
    <cellStyle name="Normal 9 2 2 2 3 2 4" xfId="9471" xr:uid="{E472D827-532E-42C0-B781-9E63FEBCFCF5}"/>
    <cellStyle name="Normal 9 2 2 2 3 2 5" xfId="10402" xr:uid="{5C7536A9-C457-496A-8A69-E012C71CFFDF}"/>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317F6B26-1EC1-44EC-AC00-B857169F839B}"/>
    <cellStyle name="Normal 9 2 2 2 3 3 2 3" xfId="12960" xr:uid="{248A2E8E-8DF7-455E-8487-2BAB54CBD355}"/>
    <cellStyle name="Normal 9 2 2 2 3 3 3" xfId="5706" xr:uid="{00000000-0005-0000-0000-00009F1E0000}"/>
    <cellStyle name="Normal 9 2 2 2 3 3 3 2" xfId="15032" xr:uid="{869ADFCB-EB00-42D4-9CB5-68B73EBB460E}"/>
    <cellStyle name="Normal 9 2 2 2 3 3 4" xfId="10815" xr:uid="{F04248E2-AF5A-4A0B-8AC7-A965018FD816}"/>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53343DBB-C4A1-4146-B13F-01CEE99E7D91}"/>
    <cellStyle name="Normal 9 2 2 2 3 4 2 3" xfId="13373" xr:uid="{39916027-265E-40AD-994F-C8DB2EFC06FA}"/>
    <cellStyle name="Normal 9 2 2 2 3 4 3" xfId="6119" xr:uid="{00000000-0005-0000-0000-0000A31E0000}"/>
    <cellStyle name="Normal 9 2 2 2 3 4 3 2" xfId="15445" xr:uid="{2658818C-118B-4D84-8E17-FB5BA8423C01}"/>
    <cellStyle name="Normal 9 2 2 2 3 4 4" xfId="11228" xr:uid="{0810254E-D33A-441D-8781-16B3CDDAC514}"/>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38840720-F7FA-45FE-BCB5-EC8E6F2375DB}"/>
    <cellStyle name="Normal 9 2 2 2 3 5 2 3" xfId="13786" xr:uid="{9990B83C-3F0B-470B-8812-CA8DCF838155}"/>
    <cellStyle name="Normal 9 2 2 2 3 5 3" xfId="6532" xr:uid="{00000000-0005-0000-0000-0000A71E0000}"/>
    <cellStyle name="Normal 9 2 2 2 3 5 3 2" xfId="15858" xr:uid="{FF6D88D8-1E8A-44AF-B83A-2A027C3259A1}"/>
    <cellStyle name="Normal 9 2 2 2 3 5 4" xfId="11641" xr:uid="{C2E8FE34-6827-4636-B807-988A4775AAC6}"/>
    <cellStyle name="Normal 9 2 2 2 3 6" xfId="2662" xr:uid="{00000000-0005-0000-0000-0000A81E0000}"/>
    <cellStyle name="Normal 9 2 2 2 3 6 2" xfId="6945" xr:uid="{00000000-0005-0000-0000-0000A91E0000}"/>
    <cellStyle name="Normal 9 2 2 2 3 6 2 2" xfId="16271" xr:uid="{B901E356-70FA-4BCD-AFD3-619780D77519}"/>
    <cellStyle name="Normal 9 2 2 2 3 6 3" xfId="12054" xr:uid="{C4A32C73-B4F8-4293-930C-117C13205EF5}"/>
    <cellStyle name="Normal 9 2 2 2 3 7" xfId="4880" xr:uid="{00000000-0005-0000-0000-0000AA1E0000}"/>
    <cellStyle name="Normal 9 2 2 2 3 7 2" xfId="14206" xr:uid="{D488A201-99C4-4666-8314-3C08365437C9}"/>
    <cellStyle name="Normal 9 2 2 2 3 8" xfId="9046" xr:uid="{6B7E07C7-E90B-4AE9-8FE8-76EF28E8FC85}"/>
    <cellStyle name="Normal 9 2 2 2 3 9" xfId="9989" xr:uid="{D06C5255-D225-42D8-B5A3-F8660EECC6AC}"/>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E00F427B-D482-4ED2-B9AE-7F7D00A04061}"/>
    <cellStyle name="Normal 9 2 2 2 4 2 3" xfId="12544" xr:uid="{D5E9791F-A38A-4903-8F30-CB5EAA6859AB}"/>
    <cellStyle name="Normal 9 2 2 2 4 3" xfId="5290" xr:uid="{00000000-0005-0000-0000-0000AE1E0000}"/>
    <cellStyle name="Normal 9 2 2 2 4 3 2" xfId="14616" xr:uid="{C71F8BDD-8315-4760-8066-3B84831D90E4}"/>
    <cellStyle name="Normal 9 2 2 2 4 4" xfId="9264" xr:uid="{0137E036-48D9-4B3B-9B73-0002A19DDE9E}"/>
    <cellStyle name="Normal 9 2 2 2 4 5" xfId="10399" xr:uid="{793AED40-A2D7-42F9-879D-9F7A40E7055A}"/>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A78B1C96-2475-4F23-96FB-E252068B0384}"/>
    <cellStyle name="Normal 9 2 2 2 5 2 3" xfId="12957" xr:uid="{FA02B193-1336-4E43-BB5E-39AD860E7B77}"/>
    <cellStyle name="Normal 9 2 2 2 5 3" xfId="5703" xr:uid="{00000000-0005-0000-0000-0000B21E0000}"/>
    <cellStyle name="Normal 9 2 2 2 5 3 2" xfId="15029" xr:uid="{81C84F88-DCBD-4589-8685-74BC00FF705D}"/>
    <cellStyle name="Normal 9 2 2 2 5 4" xfId="10812" xr:uid="{E7BAD32E-D162-44DC-A813-2748000831A3}"/>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CA827C05-9B3C-46DA-8CAC-CD8D3A1D56BF}"/>
    <cellStyle name="Normal 9 2 2 2 6 2 3" xfId="13370" xr:uid="{B22CEF5E-56F1-4EB6-AC7A-9556EB0AB2D3}"/>
    <cellStyle name="Normal 9 2 2 2 6 3" xfId="6116" xr:uid="{00000000-0005-0000-0000-0000B61E0000}"/>
    <cellStyle name="Normal 9 2 2 2 6 3 2" xfId="15442" xr:uid="{E25CE289-ACA5-4040-8FEB-F7A1338F9C5C}"/>
    <cellStyle name="Normal 9 2 2 2 6 4" xfId="11225" xr:uid="{241D5710-1930-4AE1-90DA-E0DE7E2CDA8A}"/>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D364AAB9-83DA-496C-9216-F5D8620B4493}"/>
    <cellStyle name="Normal 9 2 2 2 7 2 3" xfId="13783" xr:uid="{B03112CA-D250-4696-BED0-37DC11C5D53C}"/>
    <cellStyle name="Normal 9 2 2 2 7 3" xfId="6529" xr:uid="{00000000-0005-0000-0000-0000BA1E0000}"/>
    <cellStyle name="Normal 9 2 2 2 7 3 2" xfId="15855" xr:uid="{27160127-AA21-43E5-AEB1-17B64AB0BC1F}"/>
    <cellStyle name="Normal 9 2 2 2 7 4" xfId="11638" xr:uid="{B81CF3F1-F98C-4EC8-930C-45BDF410F1A5}"/>
    <cellStyle name="Normal 9 2 2 2 8" xfId="2659" xr:uid="{00000000-0005-0000-0000-0000BB1E0000}"/>
    <cellStyle name="Normal 9 2 2 2 8 2" xfId="6942" xr:uid="{00000000-0005-0000-0000-0000BC1E0000}"/>
    <cellStyle name="Normal 9 2 2 2 8 2 2" xfId="16268" xr:uid="{AB240764-FCC7-4BD6-AB61-EEBC9985325F}"/>
    <cellStyle name="Normal 9 2 2 2 8 3" xfId="12051" xr:uid="{181EFE2F-55FA-4181-892E-EAA199BDCA41}"/>
    <cellStyle name="Normal 9 2 2 2 9" xfId="4877" xr:uid="{00000000-0005-0000-0000-0000BD1E0000}"/>
    <cellStyle name="Normal 9 2 2 2 9 2" xfId="14203" xr:uid="{1D7F1804-E5D7-4A43-AEB6-00FAEC34CD52}"/>
    <cellStyle name="Normal 9 2 2 3" xfId="517" xr:uid="{00000000-0005-0000-0000-0000BE1E0000}"/>
    <cellStyle name="Normal 9 2 2 3 10" xfId="9990" xr:uid="{6ACC11FB-DC90-4C73-84A8-0D5E83230542}"/>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8CC6C24B-C2CF-4E9B-B6AE-ADDD2C6014A7}"/>
    <cellStyle name="Normal 9 2 2 3 2 2 2 3" xfId="12549" xr:uid="{178BB837-B084-4609-AF20-09258816B1DD}"/>
    <cellStyle name="Normal 9 2 2 3 2 2 3" xfId="5295" xr:uid="{00000000-0005-0000-0000-0000C31E0000}"/>
    <cellStyle name="Normal 9 2 2 3 2 2 3 2" xfId="14621" xr:uid="{5B8D0CB9-E138-47C5-B0BB-11678FB0B48C}"/>
    <cellStyle name="Normal 9 2 2 3 2 2 4" xfId="9520" xr:uid="{57CFBD10-691F-4DF8-8020-B75E98FF60DD}"/>
    <cellStyle name="Normal 9 2 2 3 2 2 5" xfId="10404" xr:uid="{9E322BA1-5409-451E-B9CE-DA959D24DF09}"/>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F16220A9-78D0-4F12-961A-BE79893C84DB}"/>
    <cellStyle name="Normal 9 2 2 3 2 3 2 3" xfId="12962" xr:uid="{8C0BF277-D61C-419E-8D12-6C5A58047689}"/>
    <cellStyle name="Normal 9 2 2 3 2 3 3" xfId="5708" xr:uid="{00000000-0005-0000-0000-0000C71E0000}"/>
    <cellStyle name="Normal 9 2 2 3 2 3 3 2" xfId="15034" xr:uid="{023C5CD7-E796-4D62-9374-8E1086A53C62}"/>
    <cellStyle name="Normal 9 2 2 3 2 3 4" xfId="10817" xr:uid="{E9BDE2FE-B573-4B73-AB67-18844CF6FA96}"/>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BCA553FC-0E38-4939-B581-82653CB68961}"/>
    <cellStyle name="Normal 9 2 2 3 2 4 2 3" xfId="13375" xr:uid="{91EA24F9-385F-482C-A87F-316707C7A158}"/>
    <cellStyle name="Normal 9 2 2 3 2 4 3" xfId="6121" xr:uid="{00000000-0005-0000-0000-0000CB1E0000}"/>
    <cellStyle name="Normal 9 2 2 3 2 4 3 2" xfId="15447" xr:uid="{AFEC93E3-BBC4-49AF-AD97-4506D7D88AFF}"/>
    <cellStyle name="Normal 9 2 2 3 2 4 4" xfId="11230" xr:uid="{3B10746B-F856-47C2-BA1C-39078E3C3007}"/>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A644C0DA-0930-4FBD-A03F-4542F416680B}"/>
    <cellStyle name="Normal 9 2 2 3 2 5 2 3" xfId="13788" xr:uid="{E9ECB25A-CBCB-42C7-9829-202E5A666293}"/>
    <cellStyle name="Normal 9 2 2 3 2 5 3" xfId="6534" xr:uid="{00000000-0005-0000-0000-0000CF1E0000}"/>
    <cellStyle name="Normal 9 2 2 3 2 5 3 2" xfId="15860" xr:uid="{634C3A8A-C35F-4FBA-858C-6CF71B2B0A15}"/>
    <cellStyle name="Normal 9 2 2 3 2 5 4" xfId="11643" xr:uid="{6415F88C-93A1-4A5D-8DAB-7639B4B262DB}"/>
    <cellStyle name="Normal 9 2 2 3 2 6" xfId="2664" xr:uid="{00000000-0005-0000-0000-0000D01E0000}"/>
    <cellStyle name="Normal 9 2 2 3 2 6 2" xfId="6947" xr:uid="{00000000-0005-0000-0000-0000D11E0000}"/>
    <cellStyle name="Normal 9 2 2 3 2 6 2 2" xfId="16273" xr:uid="{7CB4FB6A-1B71-4FDB-B36D-72053B36FE32}"/>
    <cellStyle name="Normal 9 2 2 3 2 6 3" xfId="12056" xr:uid="{37990F27-46B4-4BE2-952E-01BE43FEE90B}"/>
    <cellStyle name="Normal 9 2 2 3 2 7" xfId="4882" xr:uid="{00000000-0005-0000-0000-0000D21E0000}"/>
    <cellStyle name="Normal 9 2 2 3 2 7 2" xfId="14208" xr:uid="{850635F8-E5A3-4735-86CA-FF3532D08FAB}"/>
    <cellStyle name="Normal 9 2 2 3 2 8" xfId="9095" xr:uid="{D95088B7-D227-4E97-A9B9-DA61436DD386}"/>
    <cellStyle name="Normal 9 2 2 3 2 9" xfId="9991" xr:uid="{F3FF098E-1176-42B1-B48B-BA5F54859C2B}"/>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D9FDEF6F-93BC-45BD-888F-E27BFB3803EF}"/>
    <cellStyle name="Normal 9 2 2 3 3 2 3" xfId="12548" xr:uid="{B83C2951-412E-4DA8-9ED2-A4BB895D7F7E}"/>
    <cellStyle name="Normal 9 2 2 3 3 3" xfId="5294" xr:uid="{00000000-0005-0000-0000-0000D61E0000}"/>
    <cellStyle name="Normal 9 2 2 3 3 3 2" xfId="14620" xr:uid="{42022123-AE83-4366-BC6E-8E81FEDDA745}"/>
    <cellStyle name="Normal 9 2 2 3 3 4" xfId="9313" xr:uid="{FDDC600D-FDDD-4FFC-9820-DFD7E0768F33}"/>
    <cellStyle name="Normal 9 2 2 3 3 5" xfId="10403" xr:uid="{7C1BA1DB-B4C5-470A-8F2A-957C6E34646D}"/>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8CA844A5-14CA-47C8-9CAE-94DC45040F5E}"/>
    <cellStyle name="Normal 9 2 2 3 4 2 3" xfId="12961" xr:uid="{29F1F876-F5B2-4033-AE3E-106EEEF2C248}"/>
    <cellStyle name="Normal 9 2 2 3 4 3" xfId="5707" xr:uid="{00000000-0005-0000-0000-0000DA1E0000}"/>
    <cellStyle name="Normal 9 2 2 3 4 3 2" xfId="15033" xr:uid="{0BD60699-DE92-4564-A0AF-25F623F84985}"/>
    <cellStyle name="Normal 9 2 2 3 4 4" xfId="10816" xr:uid="{860BB89C-2065-464E-BA0D-9C23F2AA50AF}"/>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213E563D-5730-4568-956B-1BDEE2396996}"/>
    <cellStyle name="Normal 9 2 2 3 5 2 3" xfId="13374" xr:uid="{840555AE-0E2F-4200-A650-136507FF3AC0}"/>
    <cellStyle name="Normal 9 2 2 3 5 3" xfId="6120" xr:uid="{00000000-0005-0000-0000-0000DE1E0000}"/>
    <cellStyle name="Normal 9 2 2 3 5 3 2" xfId="15446" xr:uid="{96E8FB6A-7B0C-4329-AF05-565D5E5BC7D1}"/>
    <cellStyle name="Normal 9 2 2 3 5 4" xfId="11229" xr:uid="{91FE86B1-85DB-488B-921B-AEF0BE92D300}"/>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CEE79DE0-F77A-458A-99D5-EB7F7D3574CE}"/>
    <cellStyle name="Normal 9 2 2 3 6 2 3" xfId="13787" xr:uid="{EEF66B1C-0EFB-4690-A85D-CEB78AF63B4B}"/>
    <cellStyle name="Normal 9 2 2 3 6 3" xfId="6533" xr:uid="{00000000-0005-0000-0000-0000E21E0000}"/>
    <cellStyle name="Normal 9 2 2 3 6 3 2" xfId="15859" xr:uid="{B3064EB0-58BE-479B-A3D0-83C704DE2AC3}"/>
    <cellStyle name="Normal 9 2 2 3 6 4" xfId="11642" xr:uid="{A2E9F1D1-4315-43A7-9E67-62252A81BD91}"/>
    <cellStyle name="Normal 9 2 2 3 7" xfId="2663" xr:uid="{00000000-0005-0000-0000-0000E31E0000}"/>
    <cellStyle name="Normal 9 2 2 3 7 2" xfId="6946" xr:uid="{00000000-0005-0000-0000-0000E41E0000}"/>
    <cellStyle name="Normal 9 2 2 3 7 2 2" xfId="16272" xr:uid="{B94AA4A6-F3D8-4DE0-AF2D-D58226DA588C}"/>
    <cellStyle name="Normal 9 2 2 3 7 3" xfId="12055" xr:uid="{641E7097-AFCC-48FA-B40E-AFE9927F732F}"/>
    <cellStyle name="Normal 9 2 2 3 8" xfId="4881" xr:uid="{00000000-0005-0000-0000-0000E51E0000}"/>
    <cellStyle name="Normal 9 2 2 3 8 2" xfId="14207" xr:uid="{026704F3-017E-491F-8CC0-488854DC8B04}"/>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2BB5FD8A-4237-4138-9B1C-E9BF25616711}"/>
    <cellStyle name="Normal 9 2 2 4 2 2 3" xfId="12550" xr:uid="{24DAB6C6-03D9-4F74-921A-D6008E3FA48A}"/>
    <cellStyle name="Normal 9 2 2 4 2 3" xfId="5296" xr:uid="{00000000-0005-0000-0000-0000EA1E0000}"/>
    <cellStyle name="Normal 9 2 2 4 2 3 2" xfId="14622" xr:uid="{4C61BFDB-80CB-447A-B6CD-7793E6E1B897}"/>
    <cellStyle name="Normal 9 2 2 4 2 4" xfId="9417" xr:uid="{FDB8A679-B5B8-4E9B-808D-E68F6CA01958}"/>
    <cellStyle name="Normal 9 2 2 4 2 5" xfId="10405" xr:uid="{499ADEC5-72AE-4CDE-839E-A9001E07DA02}"/>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1E1F7DDF-5C25-435A-8BDE-CBB64AC1AD4F}"/>
    <cellStyle name="Normal 9 2 2 4 3 2 3" xfId="12963" xr:uid="{104A0DCB-4D09-485D-8804-C07A7ACF30A5}"/>
    <cellStyle name="Normal 9 2 2 4 3 3" xfId="5709" xr:uid="{00000000-0005-0000-0000-0000EE1E0000}"/>
    <cellStyle name="Normal 9 2 2 4 3 3 2" xfId="15035" xr:uid="{22DF4E8C-64F2-44F7-AA15-F918DAAB3C96}"/>
    <cellStyle name="Normal 9 2 2 4 3 4" xfId="10818" xr:uid="{5BB14549-B326-4FB2-BB09-DCB4158A8B18}"/>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37823381-CE8B-4C8E-B474-659AB54A8576}"/>
    <cellStyle name="Normal 9 2 2 4 4 2 3" xfId="13376" xr:uid="{5DE76FBF-B6D1-4E5D-9E3A-E007F28D767D}"/>
    <cellStyle name="Normal 9 2 2 4 4 3" xfId="6122" xr:uid="{00000000-0005-0000-0000-0000F21E0000}"/>
    <cellStyle name="Normal 9 2 2 4 4 3 2" xfId="15448" xr:uid="{CB4A0D7A-BB7D-4312-B896-2F173DE8A9E5}"/>
    <cellStyle name="Normal 9 2 2 4 4 4" xfId="11231" xr:uid="{410C1EAD-CB62-42FA-B16C-A757BF670917}"/>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3441EE26-A10F-474D-AA91-812EE108AFDF}"/>
    <cellStyle name="Normal 9 2 2 4 5 2 3" xfId="13789" xr:uid="{8A76D6E2-10AC-4C82-9FFB-10CF7E16B7CF}"/>
    <cellStyle name="Normal 9 2 2 4 5 3" xfId="6535" xr:uid="{00000000-0005-0000-0000-0000F61E0000}"/>
    <cellStyle name="Normal 9 2 2 4 5 3 2" xfId="15861" xr:uid="{BE0CEA52-90EE-448F-A6CB-EB13011918D1}"/>
    <cellStyle name="Normal 9 2 2 4 5 4" xfId="11644" xr:uid="{E39065DC-4FAA-40A3-BFB5-A2EB46013515}"/>
    <cellStyle name="Normal 9 2 2 4 6" xfId="2665" xr:uid="{00000000-0005-0000-0000-0000F71E0000}"/>
    <cellStyle name="Normal 9 2 2 4 6 2" xfId="6948" xr:uid="{00000000-0005-0000-0000-0000F81E0000}"/>
    <cellStyle name="Normal 9 2 2 4 6 2 2" xfId="16274" xr:uid="{EA023C25-12F1-42FC-A521-FE25E5208A6D}"/>
    <cellStyle name="Normal 9 2 2 4 6 3" xfId="12057" xr:uid="{7435B234-C4DC-448F-A1CE-1641A08C867E}"/>
    <cellStyle name="Normal 9 2 2 4 7" xfId="4883" xr:uid="{00000000-0005-0000-0000-0000F91E0000}"/>
    <cellStyle name="Normal 9 2 2 4 7 2" xfId="14209" xr:uid="{EC40F122-766F-422E-9274-42A0989E5B1D}"/>
    <cellStyle name="Normal 9 2 2 4 8" xfId="8992" xr:uid="{8AFFF8AD-8552-4B33-AAFF-7DACAE25085E}"/>
    <cellStyle name="Normal 9 2 2 4 9" xfId="9992" xr:uid="{28628574-BA75-4017-B35C-80EB72297125}"/>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E300205C-61C1-4B4C-9ED1-FF195FE1D366}"/>
    <cellStyle name="Normal 9 2 2 5 2 3" xfId="12543" xr:uid="{DE159D56-EAA6-4EA9-AD56-EFFD032ABE7C}"/>
    <cellStyle name="Normal 9 2 2 5 3" xfId="5289" xr:uid="{00000000-0005-0000-0000-0000FD1E0000}"/>
    <cellStyle name="Normal 9 2 2 5 3 2" xfId="14615" xr:uid="{792EBCEA-9F54-4F04-A48C-259E80C90662}"/>
    <cellStyle name="Normal 9 2 2 5 4" xfId="9209" xr:uid="{66E66B93-842C-41D8-A807-A065C03CFEBD}"/>
    <cellStyle name="Normal 9 2 2 5 5" xfId="10398" xr:uid="{AC09A9F5-5CD7-463B-8634-947A30C58139}"/>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9ADF16D4-5756-4A52-BC4F-7C8420E548B3}"/>
    <cellStyle name="Normal 9 2 2 6 2 3" xfId="12956" xr:uid="{5EDF2051-FD3E-48FF-958F-F19E4E6C4D80}"/>
    <cellStyle name="Normal 9 2 2 6 3" xfId="5702" xr:uid="{00000000-0005-0000-0000-0000011F0000}"/>
    <cellStyle name="Normal 9 2 2 6 3 2" xfId="15028" xr:uid="{83FBEF67-0521-489E-9B55-50752992EE37}"/>
    <cellStyle name="Normal 9 2 2 6 4" xfId="10811" xr:uid="{53443F19-54C2-4823-B5C0-CA72FC48DC6C}"/>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02D65FEE-CF4E-4434-BD51-86A9A5D420E6}"/>
    <cellStyle name="Normal 9 2 2 7 2 3" xfId="13369" xr:uid="{F2604637-0139-4195-8FE7-551508F1B719}"/>
    <cellStyle name="Normal 9 2 2 7 3" xfId="6115" xr:uid="{00000000-0005-0000-0000-0000051F0000}"/>
    <cellStyle name="Normal 9 2 2 7 3 2" xfId="15441" xr:uid="{6A30889B-08C9-4B72-987D-CC322386A006}"/>
    <cellStyle name="Normal 9 2 2 7 4" xfId="11224" xr:uid="{C9FAE380-29DF-4E27-B26D-92D4EFB194C7}"/>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F1E08204-1AB7-46B3-8B95-9EEE95DCA81B}"/>
    <cellStyle name="Normal 9 2 2 8 2 3" xfId="13782" xr:uid="{8D2649E3-8697-4E89-800D-365783D807A2}"/>
    <cellStyle name="Normal 9 2 2 8 3" xfId="6528" xr:uid="{00000000-0005-0000-0000-0000091F0000}"/>
    <cellStyle name="Normal 9 2 2 8 3 2" xfId="15854" xr:uid="{1939CB0B-0540-436D-B3C2-40C61EE44934}"/>
    <cellStyle name="Normal 9 2 2 8 4" xfId="11637" xr:uid="{015A83A3-29C1-4450-8260-A5D1E3D9DE09}"/>
    <cellStyle name="Normal 9 2 2 9" xfId="2658" xr:uid="{00000000-0005-0000-0000-00000A1F0000}"/>
    <cellStyle name="Normal 9 2 2 9 2" xfId="6941" xr:uid="{00000000-0005-0000-0000-00000B1F0000}"/>
    <cellStyle name="Normal 9 2 2 9 2 2" xfId="16267" xr:uid="{F384304B-6CE6-4001-B80B-DB17AB768E76}"/>
    <cellStyle name="Normal 9 2 2 9 3" xfId="12050" xr:uid="{966A3A93-E466-4FD6-BD6B-00A552FE34F4}"/>
    <cellStyle name="Normal 9 2 3" xfId="520" xr:uid="{00000000-0005-0000-0000-00000C1F0000}"/>
    <cellStyle name="Normal 9 2 3 10" xfId="8838" xr:uid="{3F59BADF-95CF-4831-9CE1-8ACBDD585DF1}"/>
    <cellStyle name="Normal 9 2 3 11" xfId="9993" xr:uid="{87F18E0E-07DF-49DD-AAC4-D5B9C896514E}"/>
    <cellStyle name="Normal 9 2 3 2" xfId="521" xr:uid="{00000000-0005-0000-0000-00000D1F0000}"/>
    <cellStyle name="Normal 9 2 3 2 10" xfId="9994" xr:uid="{CFC47782-BE0B-4FBA-88A1-B9F1B88CDB83}"/>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CAD1AF71-6DC3-415B-A6AC-0AF66A320539}"/>
    <cellStyle name="Normal 9 2 3 2 2 2 2 3" xfId="12553" xr:uid="{76FE5B51-C03B-4362-908F-7E054441F6A4}"/>
    <cellStyle name="Normal 9 2 3 2 2 2 3" xfId="5299" xr:uid="{00000000-0005-0000-0000-0000121F0000}"/>
    <cellStyle name="Normal 9 2 3 2 2 2 3 2" xfId="14625" xr:uid="{A7BFB53C-63C1-4A63-8E28-E9E8AA97941A}"/>
    <cellStyle name="Normal 9 2 3 2 2 2 4" xfId="9573" xr:uid="{376F8566-2407-40B8-9531-D3E757BE7A23}"/>
    <cellStyle name="Normal 9 2 3 2 2 2 5" xfId="10408" xr:uid="{D0A47F39-770A-4063-AFF4-82913B68E8AD}"/>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0ECAF183-4857-4806-80A4-14DFACC65C1E}"/>
    <cellStyle name="Normal 9 2 3 2 2 3 2 3" xfId="12966" xr:uid="{078CCBAB-E3A4-4079-A557-3366AA0706A0}"/>
    <cellStyle name="Normal 9 2 3 2 2 3 3" xfId="5712" xr:uid="{00000000-0005-0000-0000-0000161F0000}"/>
    <cellStyle name="Normal 9 2 3 2 2 3 3 2" xfId="15038" xr:uid="{86D911CA-CCFA-4596-A1FF-0D00CE035E81}"/>
    <cellStyle name="Normal 9 2 3 2 2 3 4" xfId="10821" xr:uid="{296217BC-32FF-4AFB-B246-6A21F525F893}"/>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F56F585E-E287-4645-B442-634B2050FE30}"/>
    <cellStyle name="Normal 9 2 3 2 2 4 2 3" xfId="13379" xr:uid="{3D60DED0-C0E6-46C3-9F10-8909340F1CC8}"/>
    <cellStyle name="Normal 9 2 3 2 2 4 3" xfId="6125" xr:uid="{00000000-0005-0000-0000-00001A1F0000}"/>
    <cellStyle name="Normal 9 2 3 2 2 4 3 2" xfId="15451" xr:uid="{021CB663-24C0-4ED8-87E2-5468DF6080A1}"/>
    <cellStyle name="Normal 9 2 3 2 2 4 4" xfId="11234" xr:uid="{D5276AFF-FB7A-4A7A-AD38-E4985C5F54B4}"/>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E2B6A9C1-1D3C-4F43-AE99-99E3155E462E}"/>
    <cellStyle name="Normal 9 2 3 2 2 5 2 3" xfId="13792" xr:uid="{F1568208-0BA8-460A-88F2-A2DBBAE7DBAA}"/>
    <cellStyle name="Normal 9 2 3 2 2 5 3" xfId="6538" xr:uid="{00000000-0005-0000-0000-00001E1F0000}"/>
    <cellStyle name="Normal 9 2 3 2 2 5 3 2" xfId="15864" xr:uid="{8AA14984-BDE7-44F2-882D-558700E3F352}"/>
    <cellStyle name="Normal 9 2 3 2 2 5 4" xfId="11647" xr:uid="{6BA5DD6C-4B0B-41AD-B2FA-3234FA64F8F0}"/>
    <cellStyle name="Normal 9 2 3 2 2 6" xfId="2668" xr:uid="{00000000-0005-0000-0000-00001F1F0000}"/>
    <cellStyle name="Normal 9 2 3 2 2 6 2" xfId="6951" xr:uid="{00000000-0005-0000-0000-0000201F0000}"/>
    <cellStyle name="Normal 9 2 3 2 2 6 2 2" xfId="16277" xr:uid="{B2EE32C5-82DB-40D3-B8B4-07791577DD61}"/>
    <cellStyle name="Normal 9 2 3 2 2 6 3" xfId="12060" xr:uid="{BC43F39B-F982-4256-882D-9DCC25444785}"/>
    <cellStyle name="Normal 9 2 3 2 2 7" xfId="4886" xr:uid="{00000000-0005-0000-0000-0000211F0000}"/>
    <cellStyle name="Normal 9 2 3 2 2 7 2" xfId="14212" xr:uid="{4D98F56D-15B0-48AF-816C-DC141AAEE0A7}"/>
    <cellStyle name="Normal 9 2 3 2 2 8" xfId="9148" xr:uid="{E1A2F3F0-C8EA-47FA-BB37-18F117041A87}"/>
    <cellStyle name="Normal 9 2 3 2 2 9" xfId="9995" xr:uid="{6F3CE59B-0545-4170-82BC-BA0D7ECBB64E}"/>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324AEC71-10DC-487F-AF44-4C3159E9DF5A}"/>
    <cellStyle name="Normal 9 2 3 2 3 2 3" xfId="12552" xr:uid="{22E17048-2CE0-4246-9DF5-91B54FD47FE1}"/>
    <cellStyle name="Normal 9 2 3 2 3 3" xfId="5298" xr:uid="{00000000-0005-0000-0000-0000251F0000}"/>
    <cellStyle name="Normal 9 2 3 2 3 3 2" xfId="14624" xr:uid="{0FC47466-5DAD-4D13-B647-9EA326E76EC2}"/>
    <cellStyle name="Normal 9 2 3 2 3 4" xfId="9366" xr:uid="{136A6B94-9CAA-4F6C-B09D-7385900FCA38}"/>
    <cellStyle name="Normal 9 2 3 2 3 5" xfId="10407" xr:uid="{F19D70B8-2F81-43A3-8190-9660A74993F5}"/>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20E12FE8-EB3F-4560-8356-C6B38664C57F}"/>
    <cellStyle name="Normal 9 2 3 2 4 2 3" xfId="12965" xr:uid="{0159D70A-59E9-4D98-AD47-ED9634E83EC3}"/>
    <cellStyle name="Normal 9 2 3 2 4 3" xfId="5711" xr:uid="{00000000-0005-0000-0000-0000291F0000}"/>
    <cellStyle name="Normal 9 2 3 2 4 3 2" xfId="15037" xr:uid="{BD802D6F-325A-4D35-8B9D-476914FBF90E}"/>
    <cellStyle name="Normal 9 2 3 2 4 4" xfId="10820" xr:uid="{E3601576-9A00-48D9-8D09-FB102587D8AA}"/>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5BDF1CD5-56D1-4323-A799-1031E7A29B75}"/>
    <cellStyle name="Normal 9 2 3 2 5 2 3" xfId="13378" xr:uid="{5B99C435-E1CE-4FB5-841A-0BE577C74959}"/>
    <cellStyle name="Normal 9 2 3 2 5 3" xfId="6124" xr:uid="{00000000-0005-0000-0000-00002D1F0000}"/>
    <cellStyle name="Normal 9 2 3 2 5 3 2" xfId="15450" xr:uid="{139CDAD4-1656-42FD-A00A-7839BB0C4DF5}"/>
    <cellStyle name="Normal 9 2 3 2 5 4" xfId="11233" xr:uid="{40CA6BF3-455D-4E39-AAF5-E64D7633AADF}"/>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33341C0B-F465-4F7B-A096-628ED2C4497F}"/>
    <cellStyle name="Normal 9 2 3 2 6 2 3" xfId="13791" xr:uid="{27772970-622B-45B9-87A0-A49FBD14F767}"/>
    <cellStyle name="Normal 9 2 3 2 6 3" xfId="6537" xr:uid="{00000000-0005-0000-0000-0000311F0000}"/>
    <cellStyle name="Normal 9 2 3 2 6 3 2" xfId="15863" xr:uid="{9A7D6DC4-6BF4-4730-B587-50E1103C3159}"/>
    <cellStyle name="Normal 9 2 3 2 6 4" xfId="11646" xr:uid="{60E17858-8AAF-4623-A4ED-866C7275A9A2}"/>
    <cellStyle name="Normal 9 2 3 2 7" xfId="2667" xr:uid="{00000000-0005-0000-0000-0000321F0000}"/>
    <cellStyle name="Normal 9 2 3 2 7 2" xfId="6950" xr:uid="{00000000-0005-0000-0000-0000331F0000}"/>
    <cellStyle name="Normal 9 2 3 2 7 2 2" xfId="16276" xr:uid="{5512FA1D-C030-4F25-BF18-1B10729CFB6A}"/>
    <cellStyle name="Normal 9 2 3 2 7 3" xfId="12059" xr:uid="{B1E7D3A5-95FC-43B6-88F2-CB9D9717CB11}"/>
    <cellStyle name="Normal 9 2 3 2 8" xfId="4885" xr:uid="{00000000-0005-0000-0000-0000341F0000}"/>
    <cellStyle name="Normal 9 2 3 2 8 2" xfId="14211" xr:uid="{F8D11985-221D-4421-A124-A5F4A74EC1DA}"/>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B184E177-B8F2-4ACE-899A-35074E4B3382}"/>
    <cellStyle name="Normal 9 2 3 3 2 2 3" xfId="12554" xr:uid="{6D2B396E-F54C-46D7-BFD7-18DF9F59A631}"/>
    <cellStyle name="Normal 9 2 3 3 2 3" xfId="5300" xr:uid="{00000000-0005-0000-0000-0000391F0000}"/>
    <cellStyle name="Normal 9 2 3 3 2 3 2" xfId="14626" xr:uid="{53D5772C-2B05-438E-BCA8-92FCA5B7400E}"/>
    <cellStyle name="Normal 9 2 3 3 2 4" xfId="9470" xr:uid="{B46EA5E7-4A9D-405A-94B0-2C155F0DE1F1}"/>
    <cellStyle name="Normal 9 2 3 3 2 5" xfId="10409" xr:uid="{BC0870C6-8F11-4536-903B-538008FB372A}"/>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E4F718A6-D081-4679-A0AE-FB203D817031}"/>
    <cellStyle name="Normal 9 2 3 3 3 2 3" xfId="12967" xr:uid="{CA4AD9DF-B342-4A31-A9CC-94440E0D4C85}"/>
    <cellStyle name="Normal 9 2 3 3 3 3" xfId="5713" xr:uid="{00000000-0005-0000-0000-00003D1F0000}"/>
    <cellStyle name="Normal 9 2 3 3 3 3 2" xfId="15039" xr:uid="{13AC9176-36DC-42A2-A31E-3155E89E946C}"/>
    <cellStyle name="Normal 9 2 3 3 3 4" xfId="10822" xr:uid="{D10E230B-0535-4522-9368-F5911A636414}"/>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2DE8CEC5-2783-4EEB-BA2E-3FDCC6D282FD}"/>
    <cellStyle name="Normal 9 2 3 3 4 2 3" xfId="13380" xr:uid="{8A2432F2-C5C5-4AE8-BD4D-BB75AFE749BC}"/>
    <cellStyle name="Normal 9 2 3 3 4 3" xfId="6126" xr:uid="{00000000-0005-0000-0000-0000411F0000}"/>
    <cellStyle name="Normal 9 2 3 3 4 3 2" xfId="15452" xr:uid="{C9F86F7B-400B-44A8-8D60-0B862A1036EE}"/>
    <cellStyle name="Normal 9 2 3 3 4 4" xfId="11235" xr:uid="{840E98E3-0B01-49C3-B345-20661AEF390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66E7FA8B-5338-41A1-BC88-89343A94803F}"/>
    <cellStyle name="Normal 9 2 3 3 5 2 3" xfId="13793" xr:uid="{501506D2-C12A-48B6-B157-CF757CA449BF}"/>
    <cellStyle name="Normal 9 2 3 3 5 3" xfId="6539" xr:uid="{00000000-0005-0000-0000-0000451F0000}"/>
    <cellStyle name="Normal 9 2 3 3 5 3 2" xfId="15865" xr:uid="{E5139503-5C40-4FC4-9794-30146CB0E2C6}"/>
    <cellStyle name="Normal 9 2 3 3 5 4" xfId="11648" xr:uid="{F8209F02-D5DF-4B29-8580-E969A6B53590}"/>
    <cellStyle name="Normal 9 2 3 3 6" xfId="2669" xr:uid="{00000000-0005-0000-0000-0000461F0000}"/>
    <cellStyle name="Normal 9 2 3 3 6 2" xfId="6952" xr:uid="{00000000-0005-0000-0000-0000471F0000}"/>
    <cellStyle name="Normal 9 2 3 3 6 2 2" xfId="16278" xr:uid="{3ACCCDB7-31BB-427D-8A27-8F325DFD9AC2}"/>
    <cellStyle name="Normal 9 2 3 3 6 3" xfId="12061" xr:uid="{7D648A9B-1AB9-4E2F-926C-B8D824EF8FBF}"/>
    <cellStyle name="Normal 9 2 3 3 7" xfId="4887" xr:uid="{00000000-0005-0000-0000-0000481F0000}"/>
    <cellStyle name="Normal 9 2 3 3 7 2" xfId="14213" xr:uid="{AD5299EE-A4D2-4AC2-88CA-146D28671A24}"/>
    <cellStyle name="Normal 9 2 3 3 8" xfId="9045" xr:uid="{CD23D75F-FCE1-471A-A55A-DAC6FB15D069}"/>
    <cellStyle name="Normal 9 2 3 3 9" xfId="9996" xr:uid="{9E9999CB-3D9E-4F7F-911F-AB642BF51B36}"/>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032591F6-D2A1-4D81-BDBC-EFE201579918}"/>
    <cellStyle name="Normal 9 2 3 4 2 3" xfId="12551" xr:uid="{AD6993C1-A300-4885-8D3A-24ED71E3EF68}"/>
    <cellStyle name="Normal 9 2 3 4 3" xfId="5297" xr:uid="{00000000-0005-0000-0000-00004C1F0000}"/>
    <cellStyle name="Normal 9 2 3 4 3 2" xfId="14623" xr:uid="{EC3E8905-8C17-405E-81C0-CD1431E4FD97}"/>
    <cellStyle name="Normal 9 2 3 4 4" xfId="9263" xr:uid="{8E7B719A-F76B-4A2B-A5A7-1A883FD6976F}"/>
    <cellStyle name="Normal 9 2 3 4 5" xfId="10406" xr:uid="{9A1B0F4A-AA4C-45EA-9008-03A99B3DEB1F}"/>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D0DF33EF-D3FC-478B-A9E8-C039A5A6808C}"/>
    <cellStyle name="Normal 9 2 3 5 2 3" xfId="12964" xr:uid="{DA4B7391-38A9-4687-95AB-C7BDE9B7EF46}"/>
    <cellStyle name="Normal 9 2 3 5 3" xfId="5710" xr:uid="{00000000-0005-0000-0000-0000501F0000}"/>
    <cellStyle name="Normal 9 2 3 5 3 2" xfId="15036" xr:uid="{ED298357-E940-4A10-B6C9-00CC04F1157D}"/>
    <cellStyle name="Normal 9 2 3 5 4" xfId="10819" xr:uid="{0F1DA61D-B096-492D-B383-6F37A1936136}"/>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D4441F17-40C6-46E0-B464-2FF8D9C6E032}"/>
    <cellStyle name="Normal 9 2 3 6 2 3" xfId="13377" xr:uid="{E786A476-B14D-49BB-86BB-C01F04242FE6}"/>
    <cellStyle name="Normal 9 2 3 6 3" xfId="6123" xr:uid="{00000000-0005-0000-0000-0000541F0000}"/>
    <cellStyle name="Normal 9 2 3 6 3 2" xfId="15449" xr:uid="{C758F55F-B0C1-41AE-82C3-8D7DADFD79EC}"/>
    <cellStyle name="Normal 9 2 3 6 4" xfId="11232" xr:uid="{AC8343F8-2179-48C7-A53E-E53C2B160E97}"/>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737A588C-4C38-4A59-BC7A-F8496B620726}"/>
    <cellStyle name="Normal 9 2 3 7 2 3" xfId="13790" xr:uid="{4D4B14C0-9612-4377-8CBA-B53690374593}"/>
    <cellStyle name="Normal 9 2 3 7 3" xfId="6536" xr:uid="{00000000-0005-0000-0000-0000581F0000}"/>
    <cellStyle name="Normal 9 2 3 7 3 2" xfId="15862" xr:uid="{3C2B4130-8BA8-436C-8E8A-81D40BC38BED}"/>
    <cellStyle name="Normal 9 2 3 7 4" xfId="11645" xr:uid="{FB22CC88-50DC-492D-AF55-A21BB70A4211}"/>
    <cellStyle name="Normal 9 2 3 8" xfId="2666" xr:uid="{00000000-0005-0000-0000-0000591F0000}"/>
    <cellStyle name="Normal 9 2 3 8 2" xfId="6949" xr:uid="{00000000-0005-0000-0000-00005A1F0000}"/>
    <cellStyle name="Normal 9 2 3 8 2 2" xfId="16275" xr:uid="{21A5A5EC-8EE9-48E1-AE9E-D4274E200837}"/>
    <cellStyle name="Normal 9 2 3 8 3" xfId="12058" xr:uid="{4239930B-2824-4696-8784-9D56A71A31CE}"/>
    <cellStyle name="Normal 9 2 3 9" xfId="4884" xr:uid="{00000000-0005-0000-0000-00005B1F0000}"/>
    <cellStyle name="Normal 9 2 3 9 2" xfId="14210" xr:uid="{F412807E-CC47-4CB2-BBC5-E1D49495149A}"/>
    <cellStyle name="Normal 9 2 4" xfId="524" xr:uid="{00000000-0005-0000-0000-00005C1F0000}"/>
    <cellStyle name="Normal 9 2 4 10" xfId="9997" xr:uid="{909D4945-EEAC-4742-9CAD-110C18612AFF}"/>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2A34769F-F89F-45E5-B772-C2FA7F66A02D}"/>
    <cellStyle name="Normal 9 2 4 2 2 2 3" xfId="12556" xr:uid="{2F4B8CB6-77EB-4E6A-89E9-C9F5CC368AA4}"/>
    <cellStyle name="Normal 9 2 4 2 2 3" xfId="5302" xr:uid="{00000000-0005-0000-0000-0000611F0000}"/>
    <cellStyle name="Normal 9 2 4 2 2 3 2" xfId="14628" xr:uid="{34E45953-A8FF-4922-8460-295A3A0B82E3}"/>
    <cellStyle name="Normal 9 2 4 2 2 4" xfId="9489" xr:uid="{4BA9DC16-58A7-4D6B-90A6-6BB0C51A0279}"/>
    <cellStyle name="Normal 9 2 4 2 2 5" xfId="10411" xr:uid="{5D7EAE52-70E8-4F9D-9665-3A35CB3105D7}"/>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2D528F9C-9DED-4B0C-9610-B47580CC8DB6}"/>
    <cellStyle name="Normal 9 2 4 2 3 2 3" xfId="12969" xr:uid="{20D845EB-FC1B-4835-A101-31C3972F415B}"/>
    <cellStyle name="Normal 9 2 4 2 3 3" xfId="5715" xr:uid="{00000000-0005-0000-0000-0000651F0000}"/>
    <cellStyle name="Normal 9 2 4 2 3 3 2" xfId="15041" xr:uid="{6229981C-5E92-42E1-B80C-A4EE83A59614}"/>
    <cellStyle name="Normal 9 2 4 2 3 4" xfId="10824" xr:uid="{825C922E-05B4-46FA-8DCF-CADBFA1F2866}"/>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53B8DF42-ABA8-46D6-9EBB-352A8EAE944C}"/>
    <cellStyle name="Normal 9 2 4 2 4 2 3" xfId="13382" xr:uid="{09B4CFBB-5E54-468D-9C71-7D4432F3AB1F}"/>
    <cellStyle name="Normal 9 2 4 2 4 3" xfId="6128" xr:uid="{00000000-0005-0000-0000-0000691F0000}"/>
    <cellStyle name="Normal 9 2 4 2 4 3 2" xfId="15454" xr:uid="{4114A878-2909-4DC6-A953-A4496F23FDD0}"/>
    <cellStyle name="Normal 9 2 4 2 4 4" xfId="11237" xr:uid="{EF407C18-30C8-403C-9901-4DCBA2D5EA15}"/>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80DD3370-6E83-4C7E-8977-0640C6B15245}"/>
    <cellStyle name="Normal 9 2 4 2 5 2 3" xfId="13795" xr:uid="{5334E1C7-1F3C-4359-9B8A-CB74098E7038}"/>
    <cellStyle name="Normal 9 2 4 2 5 3" xfId="6541" xr:uid="{00000000-0005-0000-0000-00006D1F0000}"/>
    <cellStyle name="Normal 9 2 4 2 5 3 2" xfId="15867" xr:uid="{38771BDF-AD2C-451C-BB0F-55D067D068E9}"/>
    <cellStyle name="Normal 9 2 4 2 5 4" xfId="11650" xr:uid="{384F02E4-DFEC-465D-9740-FAFF1AA075A7}"/>
    <cellStyle name="Normal 9 2 4 2 6" xfId="2671" xr:uid="{00000000-0005-0000-0000-00006E1F0000}"/>
    <cellStyle name="Normal 9 2 4 2 6 2" xfId="6954" xr:uid="{00000000-0005-0000-0000-00006F1F0000}"/>
    <cellStyle name="Normal 9 2 4 2 6 2 2" xfId="16280" xr:uid="{16D4B331-FF8D-42AB-8C5F-5369495C2AFF}"/>
    <cellStyle name="Normal 9 2 4 2 6 3" xfId="12063" xr:uid="{45F8B2C1-C04E-4E62-9CE9-B584C35CF1E6}"/>
    <cellStyle name="Normal 9 2 4 2 7" xfId="4889" xr:uid="{00000000-0005-0000-0000-0000701F0000}"/>
    <cellStyle name="Normal 9 2 4 2 7 2" xfId="14215" xr:uid="{986FBAD4-AB20-46EE-9A87-1051EFC7DE27}"/>
    <cellStyle name="Normal 9 2 4 2 8" xfId="9064" xr:uid="{7D4090C3-C767-4FFF-8A1F-282B2C8BAE68}"/>
    <cellStyle name="Normal 9 2 4 2 9" xfId="9998" xr:uid="{5E8B16F9-5E21-46BD-A3E2-EDD5E3F3C4AB}"/>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80CDDC95-9025-450A-BD65-E46F663D8DF4}"/>
    <cellStyle name="Normal 9 2 4 3 2 3" xfId="12555" xr:uid="{D5988365-2DA2-4DC2-838B-432A18A7DE8D}"/>
    <cellStyle name="Normal 9 2 4 3 3" xfId="5301" xr:uid="{00000000-0005-0000-0000-0000741F0000}"/>
    <cellStyle name="Normal 9 2 4 3 3 2" xfId="14627" xr:uid="{682E90D1-D2F0-47BA-A633-44AF4AC555CA}"/>
    <cellStyle name="Normal 9 2 4 3 4" xfId="9282" xr:uid="{2471E5AC-3D06-4E90-9462-C54FACA9B22B}"/>
    <cellStyle name="Normal 9 2 4 3 5" xfId="10410" xr:uid="{B1B4B019-5C39-41E7-BF4F-6ED6445B57B3}"/>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2067EB5B-36C0-49BB-AA7D-3EDD0765C4DB}"/>
    <cellStyle name="Normal 9 2 4 4 2 3" xfId="12968" xr:uid="{133A9D54-B9C5-4887-9A22-8CDF18F9C8FF}"/>
    <cellStyle name="Normal 9 2 4 4 3" xfId="5714" xr:uid="{00000000-0005-0000-0000-0000781F0000}"/>
    <cellStyle name="Normal 9 2 4 4 3 2" xfId="15040" xr:uid="{6E21421F-09CC-447D-9B6D-95F183F370A0}"/>
    <cellStyle name="Normal 9 2 4 4 4" xfId="10823" xr:uid="{DF21E430-03A2-4893-9C8C-3CB02F784147}"/>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5E0C456A-7677-49F8-9179-563DDC32BF59}"/>
    <cellStyle name="Normal 9 2 4 5 2 3" xfId="13381" xr:uid="{AC5D20A4-E57E-4A50-83F4-1AD90B101019}"/>
    <cellStyle name="Normal 9 2 4 5 3" xfId="6127" xr:uid="{00000000-0005-0000-0000-00007C1F0000}"/>
    <cellStyle name="Normal 9 2 4 5 3 2" xfId="15453" xr:uid="{D3C130C3-81FD-4F10-9B4F-B5C38DEF85BB}"/>
    <cellStyle name="Normal 9 2 4 5 4" xfId="11236" xr:uid="{BA5E7232-835F-474A-8424-8222959EDDC0}"/>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A3571B85-F66F-4023-A60D-230C2F46DBD1}"/>
    <cellStyle name="Normal 9 2 4 6 2 3" xfId="13794" xr:uid="{BED5F1FE-B8EE-40FA-AABF-0A3A9B51972D}"/>
    <cellStyle name="Normal 9 2 4 6 3" xfId="6540" xr:uid="{00000000-0005-0000-0000-0000801F0000}"/>
    <cellStyle name="Normal 9 2 4 6 3 2" xfId="15866" xr:uid="{984D68BC-ED39-445D-9E79-8149EFD0C7B3}"/>
    <cellStyle name="Normal 9 2 4 6 4" xfId="11649" xr:uid="{5640A136-564A-4EFA-81A1-1909E00C5458}"/>
    <cellStyle name="Normal 9 2 4 7" xfId="2670" xr:uid="{00000000-0005-0000-0000-0000811F0000}"/>
    <cellStyle name="Normal 9 2 4 7 2" xfId="6953" xr:uid="{00000000-0005-0000-0000-0000821F0000}"/>
    <cellStyle name="Normal 9 2 4 7 2 2" xfId="16279" xr:uid="{CD2514BC-38C0-4B43-AAEA-DF3FD9EFAD57}"/>
    <cellStyle name="Normal 9 2 4 7 3" xfId="12062" xr:uid="{C279B7AF-FDAC-46A7-A21C-0315E37BF346}"/>
    <cellStyle name="Normal 9 2 4 8" xfId="4888" xr:uid="{00000000-0005-0000-0000-0000831F0000}"/>
    <cellStyle name="Normal 9 2 4 8 2" xfId="14214" xr:uid="{7D741A2A-E32E-4CD0-A5D9-FE30E10EAB8F}"/>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404B9E0B-A49E-4611-A0BD-0184A20750AD}"/>
    <cellStyle name="Normal 9 2 5 2 2 3" xfId="12557" xr:uid="{04E8C761-977A-4640-B3EC-E8250C370A32}"/>
    <cellStyle name="Normal 9 2 5 2 3" xfId="5303" xr:uid="{00000000-0005-0000-0000-0000881F0000}"/>
    <cellStyle name="Normal 9 2 5 2 3 2" xfId="14629" xr:uid="{74943694-8F09-46BB-9871-EDE414A2AC65}"/>
    <cellStyle name="Normal 9 2 5 2 4" xfId="9398" xr:uid="{5B2A416E-986C-4898-8893-9EAFDDDBCDD4}"/>
    <cellStyle name="Normal 9 2 5 2 5" xfId="10412" xr:uid="{A30EAF51-D101-45FC-B81F-E2DCB41DB160}"/>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587858BB-F273-4556-923C-E20A8BE144EB}"/>
    <cellStyle name="Normal 9 2 5 3 2 3" xfId="12970" xr:uid="{E80F5B01-191C-4B4F-AF6A-DC647D19ABFA}"/>
    <cellStyle name="Normal 9 2 5 3 3" xfId="5716" xr:uid="{00000000-0005-0000-0000-00008C1F0000}"/>
    <cellStyle name="Normal 9 2 5 3 3 2" xfId="15042" xr:uid="{4252C475-B257-4DB9-9D52-9C2743EE9E60}"/>
    <cellStyle name="Normal 9 2 5 3 4" xfId="10825" xr:uid="{D31AF6F7-1AA8-48BD-B6AA-8CD9F0ADAC59}"/>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AAB8E73D-6A1E-4950-B077-1F4A97DC0352}"/>
    <cellStyle name="Normal 9 2 5 4 2 3" xfId="13383" xr:uid="{A7DC9511-25B8-4D73-B75D-BB30EFE66570}"/>
    <cellStyle name="Normal 9 2 5 4 3" xfId="6129" xr:uid="{00000000-0005-0000-0000-0000901F0000}"/>
    <cellStyle name="Normal 9 2 5 4 3 2" xfId="15455" xr:uid="{2D0E2E22-9E12-4E16-85DA-AD0EFF5DDDEA}"/>
    <cellStyle name="Normal 9 2 5 4 4" xfId="11238" xr:uid="{65FF86BC-0B38-4261-A3FA-8349B64F43AE}"/>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9EE02752-6C62-4D11-8381-73E32FAA3625}"/>
    <cellStyle name="Normal 9 2 5 5 2 3" xfId="13796" xr:uid="{C1082560-DBBD-4267-844A-099963E84F8C}"/>
    <cellStyle name="Normal 9 2 5 5 3" xfId="6542" xr:uid="{00000000-0005-0000-0000-0000941F0000}"/>
    <cellStyle name="Normal 9 2 5 5 3 2" xfId="15868" xr:uid="{38AEDF6B-9527-4881-AB57-D456A6D40E91}"/>
    <cellStyle name="Normal 9 2 5 5 4" xfId="11651" xr:uid="{768C5C67-DFBD-4CD0-B9F4-7337C796ABBB}"/>
    <cellStyle name="Normal 9 2 5 6" xfId="2672" xr:uid="{00000000-0005-0000-0000-0000951F0000}"/>
    <cellStyle name="Normal 9 2 5 6 2" xfId="6955" xr:uid="{00000000-0005-0000-0000-0000961F0000}"/>
    <cellStyle name="Normal 9 2 5 6 2 2" xfId="16281" xr:uid="{7FA98E7F-85B1-41D1-96CA-175DB3ED4954}"/>
    <cellStyle name="Normal 9 2 5 6 3" xfId="12064" xr:uid="{98F518F9-2B25-435C-80BA-5266BB1E8AEF}"/>
    <cellStyle name="Normal 9 2 5 7" xfId="4890" xr:uid="{00000000-0005-0000-0000-0000971F0000}"/>
    <cellStyle name="Normal 9 2 5 7 2" xfId="14216" xr:uid="{BE070BE2-B485-4D37-8CA7-7B9A4969BCA2}"/>
    <cellStyle name="Normal 9 2 5 8" xfId="8973" xr:uid="{BA9464C2-72F7-4B38-B1BD-6986FFA433D9}"/>
    <cellStyle name="Normal 9 2 5 9" xfId="9999" xr:uid="{5F504DF9-78B8-4B21-8B12-A0DA9AC39978}"/>
    <cellStyle name="Normal 9 2 6" xfId="978" xr:uid="{00000000-0005-0000-0000-0000981F0000}"/>
    <cellStyle name="Normal 9 2 6 2" xfId="3211" xr:uid="{00000000-0005-0000-0000-0000991F0000}"/>
    <cellStyle name="Normal 9 2 6 2 2" xfId="7433" xr:uid="{00000000-0005-0000-0000-00009A1F0000}"/>
    <cellStyle name="Normal 9 2 6 2 2 2" xfId="16759" xr:uid="{FAEA7269-2CBA-4C72-B038-9718E8BD40DA}"/>
    <cellStyle name="Normal 9 2 6 2 3" xfId="12542" xr:uid="{7B494EB0-71E7-4B56-B9C0-5E73EE720119}"/>
    <cellStyle name="Normal 9 2 6 3" xfId="5288" xr:uid="{00000000-0005-0000-0000-00009B1F0000}"/>
    <cellStyle name="Normal 9 2 6 3 2" xfId="14614" xr:uid="{6FAA7956-C83B-4DA6-BCF7-548B77BCAC02}"/>
    <cellStyle name="Normal 9 2 6 4" xfId="9176" xr:uid="{F3933A08-5B20-47C9-B0FC-7B73F4B0BA7D}"/>
    <cellStyle name="Normal 9 2 6 5" xfId="10397" xr:uid="{8242D59D-F5EA-4CAF-9BE3-647ED7FB3976}"/>
    <cellStyle name="Normal 9 2 7" xfId="1394" xr:uid="{00000000-0005-0000-0000-00009C1F0000}"/>
    <cellStyle name="Normal 9 2 7 2" xfId="3624" xr:uid="{00000000-0005-0000-0000-00009D1F0000}"/>
    <cellStyle name="Normal 9 2 7 2 2" xfId="7846" xr:uid="{00000000-0005-0000-0000-00009E1F0000}"/>
    <cellStyle name="Normal 9 2 7 2 2 2" xfId="17172" xr:uid="{FF699ACE-6394-4174-8C5A-C3AD3FBA40A0}"/>
    <cellStyle name="Normal 9 2 7 2 3" xfId="12955" xr:uid="{0D1714D7-FC1A-49F5-AF66-60EA3CE69BB1}"/>
    <cellStyle name="Normal 9 2 7 3" xfId="5701" xr:uid="{00000000-0005-0000-0000-00009F1F0000}"/>
    <cellStyle name="Normal 9 2 7 3 2" xfId="15027" xr:uid="{2CB98D5E-58F8-47BB-AE20-37D9D2FBA17B}"/>
    <cellStyle name="Normal 9 2 7 4" xfId="10810" xr:uid="{6CA3AC85-0472-4520-A996-F32825DE52DA}"/>
    <cellStyle name="Normal 9 2 8" xfId="1807" xr:uid="{00000000-0005-0000-0000-0000A01F0000}"/>
    <cellStyle name="Normal 9 2 8 2" xfId="4037" xr:uid="{00000000-0005-0000-0000-0000A11F0000}"/>
    <cellStyle name="Normal 9 2 8 2 2" xfId="8259" xr:uid="{00000000-0005-0000-0000-0000A21F0000}"/>
    <cellStyle name="Normal 9 2 8 2 2 2" xfId="17585" xr:uid="{F28FE76A-7902-40A8-AE1C-7578AD05DDCE}"/>
    <cellStyle name="Normal 9 2 8 2 3" xfId="13368" xr:uid="{44B19F19-97FF-4A19-BDF0-8DC6B965D8F7}"/>
    <cellStyle name="Normal 9 2 8 3" xfId="6114" xr:uid="{00000000-0005-0000-0000-0000A31F0000}"/>
    <cellStyle name="Normal 9 2 8 3 2" xfId="15440" xr:uid="{6050D30E-0B17-4026-A474-08536B5EF0B2}"/>
    <cellStyle name="Normal 9 2 8 4" xfId="11223" xr:uid="{338ADAE3-51BF-4B0E-91DF-519A015483F7}"/>
    <cellStyle name="Normal 9 2 9" xfId="2221" xr:uid="{00000000-0005-0000-0000-0000A41F0000}"/>
    <cellStyle name="Normal 9 2 9 2" xfId="4450" xr:uid="{00000000-0005-0000-0000-0000A51F0000}"/>
    <cellStyle name="Normal 9 2 9 2 2" xfId="8672" xr:uid="{00000000-0005-0000-0000-0000A61F0000}"/>
    <cellStyle name="Normal 9 2 9 2 2 2" xfId="17998" xr:uid="{954C290E-EB35-462F-9021-F643483D3F03}"/>
    <cellStyle name="Normal 9 2 9 2 3" xfId="13781" xr:uid="{03791A55-E906-438A-832F-F36F06B9A712}"/>
    <cellStyle name="Normal 9 2 9 3" xfId="6527" xr:uid="{00000000-0005-0000-0000-0000A71F0000}"/>
    <cellStyle name="Normal 9 2 9 3 2" xfId="15853" xr:uid="{1CCE1741-03A4-425F-93B8-D026ACE57B1D}"/>
    <cellStyle name="Normal 9 2 9 4" xfId="11636" xr:uid="{EC3FE5E4-7AD3-4736-B2A6-2457ECA781D0}"/>
    <cellStyle name="Normal 9 3" xfId="527" xr:uid="{00000000-0005-0000-0000-0000A81F0000}"/>
    <cellStyle name="Normal 9 3 10" xfId="4891" xr:uid="{00000000-0005-0000-0000-0000A91F0000}"/>
    <cellStyle name="Normal 9 3 10 2" xfId="14217" xr:uid="{FEF5F346-E460-46F3-A680-DC47BAD88F3A}"/>
    <cellStyle name="Normal 9 3 11" xfId="8777" xr:uid="{1F3D7E21-FC22-4F0C-9371-3D8250746BB7}"/>
    <cellStyle name="Normal 9 3 12" xfId="10000" xr:uid="{2A0231BA-1390-4AB2-9445-C48C5563556F}"/>
    <cellStyle name="Normal 9 3 2" xfId="528" xr:uid="{00000000-0005-0000-0000-0000AA1F0000}"/>
    <cellStyle name="Normal 9 3 2 10" xfId="8840" xr:uid="{94797BE2-1721-4871-A768-79D4D45F48BB}"/>
    <cellStyle name="Normal 9 3 2 11" xfId="10001" xr:uid="{B3632E4C-FE71-4201-8126-954BEDE554E6}"/>
    <cellStyle name="Normal 9 3 2 2" xfId="529" xr:uid="{00000000-0005-0000-0000-0000AB1F0000}"/>
    <cellStyle name="Normal 9 3 2 2 10" xfId="10002" xr:uid="{828054CA-C9B2-44AB-95A7-B43CD46E5899}"/>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45D276C6-6C7C-4D57-8E13-A4B6E3F3E663}"/>
    <cellStyle name="Normal 9 3 2 2 2 2 2 3" xfId="12561" xr:uid="{EF52A1B2-C03A-4ECC-B929-27DB32002A6A}"/>
    <cellStyle name="Normal 9 3 2 2 2 2 3" xfId="5307" xr:uid="{00000000-0005-0000-0000-0000B01F0000}"/>
    <cellStyle name="Normal 9 3 2 2 2 2 3 2" xfId="14633" xr:uid="{FDDC0265-8744-434C-B57A-250484999CF8}"/>
    <cellStyle name="Normal 9 3 2 2 2 2 4" xfId="9575" xr:uid="{DA05DE06-1987-4B8E-8439-C692853FF296}"/>
    <cellStyle name="Normal 9 3 2 2 2 2 5" xfId="10416" xr:uid="{6CF90494-18CE-4652-995E-CE69AFBEA03D}"/>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78BF8036-7033-474B-8DE1-21175DBD3EB9}"/>
    <cellStyle name="Normal 9 3 2 2 2 3 2 3" xfId="12974" xr:uid="{6C85EAD4-7E67-4C00-BF6C-A53ACB7353EC}"/>
    <cellStyle name="Normal 9 3 2 2 2 3 3" xfId="5720" xr:uid="{00000000-0005-0000-0000-0000B41F0000}"/>
    <cellStyle name="Normal 9 3 2 2 2 3 3 2" xfId="15046" xr:uid="{AA08EBC1-D745-4A39-A089-F8EBDD8EFB4B}"/>
    <cellStyle name="Normal 9 3 2 2 2 3 4" xfId="10829" xr:uid="{4F3A5F38-FA5D-465F-9CFF-DB21C05C4D0C}"/>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183D747D-9FEA-466B-B971-5C6E41A909EB}"/>
    <cellStyle name="Normal 9 3 2 2 2 4 2 3" xfId="13387" xr:uid="{74939CBA-AFE3-415B-B066-30BF2E64500F}"/>
    <cellStyle name="Normal 9 3 2 2 2 4 3" xfId="6133" xr:uid="{00000000-0005-0000-0000-0000B81F0000}"/>
    <cellStyle name="Normal 9 3 2 2 2 4 3 2" xfId="15459" xr:uid="{D057F03A-F110-4F8B-BD32-7C67BA384479}"/>
    <cellStyle name="Normal 9 3 2 2 2 4 4" xfId="11242" xr:uid="{C72FB155-A131-4666-B2C1-D899CB38FB64}"/>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EA81B72C-7A2D-4C5F-8AF2-9977D844DF07}"/>
    <cellStyle name="Normal 9 3 2 2 2 5 2 3" xfId="13800" xr:uid="{9FBDBBBF-9CE5-46DD-BEC8-D856748F3909}"/>
    <cellStyle name="Normal 9 3 2 2 2 5 3" xfId="6546" xr:uid="{00000000-0005-0000-0000-0000BC1F0000}"/>
    <cellStyle name="Normal 9 3 2 2 2 5 3 2" xfId="15872" xr:uid="{8A7CC9B4-C1D5-431A-9537-8F78D675790F}"/>
    <cellStyle name="Normal 9 3 2 2 2 5 4" xfId="11655" xr:uid="{2D1202AF-A1A7-4418-B6B7-BC7AA2AC94C1}"/>
    <cellStyle name="Normal 9 3 2 2 2 6" xfId="2676" xr:uid="{00000000-0005-0000-0000-0000BD1F0000}"/>
    <cellStyle name="Normal 9 3 2 2 2 6 2" xfId="6959" xr:uid="{00000000-0005-0000-0000-0000BE1F0000}"/>
    <cellStyle name="Normal 9 3 2 2 2 6 2 2" xfId="16285" xr:uid="{35B2C5A3-59A5-47BA-889B-137ABC5E03F3}"/>
    <cellStyle name="Normal 9 3 2 2 2 6 3" xfId="12068" xr:uid="{D1873286-8688-4F62-B55F-0040FEFCE9D0}"/>
    <cellStyle name="Normal 9 3 2 2 2 7" xfId="4894" xr:uid="{00000000-0005-0000-0000-0000BF1F0000}"/>
    <cellStyle name="Normal 9 3 2 2 2 7 2" xfId="14220" xr:uid="{1A1DFBA3-B637-49E7-B9FF-94EEA478FCFD}"/>
    <cellStyle name="Normal 9 3 2 2 2 8" xfId="9150" xr:uid="{F54F74BE-A583-4C94-A198-8E0D27AD7F4F}"/>
    <cellStyle name="Normal 9 3 2 2 2 9" xfId="10003" xr:uid="{A9D769EF-DEEB-4C40-8821-1D8A0539A92B}"/>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FBF57D09-AC41-4163-95A0-423844A8D4DA}"/>
    <cellStyle name="Normal 9 3 2 2 3 2 3" xfId="12560" xr:uid="{1CC91998-82ED-414B-9BE2-34A9C0C57AE3}"/>
    <cellStyle name="Normal 9 3 2 2 3 3" xfId="5306" xr:uid="{00000000-0005-0000-0000-0000C31F0000}"/>
    <cellStyle name="Normal 9 3 2 2 3 3 2" xfId="14632" xr:uid="{1813F757-E8B4-4522-A1B1-623B785EE75C}"/>
    <cellStyle name="Normal 9 3 2 2 3 4" xfId="9368" xr:uid="{B3189122-1774-442D-BD5B-8DA329618536}"/>
    <cellStyle name="Normal 9 3 2 2 3 5" xfId="10415" xr:uid="{E6EB95E0-4824-4290-B9BB-F0630B230BF7}"/>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806A86EB-81DA-41DA-B732-8F12D6156C23}"/>
    <cellStyle name="Normal 9 3 2 2 4 2 3" xfId="12973" xr:uid="{F8C05DD2-11BA-455A-A6C7-D2CAE2C96ED2}"/>
    <cellStyle name="Normal 9 3 2 2 4 3" xfId="5719" xr:uid="{00000000-0005-0000-0000-0000C71F0000}"/>
    <cellStyle name="Normal 9 3 2 2 4 3 2" xfId="15045" xr:uid="{B12687C0-FC1C-4369-A5EF-746F95C0ED86}"/>
    <cellStyle name="Normal 9 3 2 2 4 4" xfId="10828" xr:uid="{E5217570-C58D-4C3B-8BA8-2A85CD7B035E}"/>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733E7D08-0C7E-4481-9608-7032D2C8E44C}"/>
    <cellStyle name="Normal 9 3 2 2 5 2 3" xfId="13386" xr:uid="{3DE60BAC-0182-4CF9-9480-F8D481C40A2A}"/>
    <cellStyle name="Normal 9 3 2 2 5 3" xfId="6132" xr:uid="{00000000-0005-0000-0000-0000CB1F0000}"/>
    <cellStyle name="Normal 9 3 2 2 5 3 2" xfId="15458" xr:uid="{5A72EA2E-5D0B-4940-B9EA-1DEE557694B4}"/>
    <cellStyle name="Normal 9 3 2 2 5 4" xfId="11241" xr:uid="{02135DDE-C51C-4158-98A6-A82AFA6B208B}"/>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AB4CF5CA-7E7C-4001-9E74-077595D4CC07}"/>
    <cellStyle name="Normal 9 3 2 2 6 2 3" xfId="13799" xr:uid="{A2DF2569-9802-44B1-8261-25B4B640D517}"/>
    <cellStyle name="Normal 9 3 2 2 6 3" xfId="6545" xr:uid="{00000000-0005-0000-0000-0000CF1F0000}"/>
    <cellStyle name="Normal 9 3 2 2 6 3 2" xfId="15871" xr:uid="{FA949F16-92CD-4344-8981-4EF49929F03B}"/>
    <cellStyle name="Normal 9 3 2 2 6 4" xfId="11654" xr:uid="{70763F34-43B7-419D-BF6A-00440EB24961}"/>
    <cellStyle name="Normal 9 3 2 2 7" xfId="2675" xr:uid="{00000000-0005-0000-0000-0000D01F0000}"/>
    <cellStyle name="Normal 9 3 2 2 7 2" xfId="6958" xr:uid="{00000000-0005-0000-0000-0000D11F0000}"/>
    <cellStyle name="Normal 9 3 2 2 7 2 2" xfId="16284" xr:uid="{941CD7FB-FED4-4ED0-93E4-FF5A9AC757CF}"/>
    <cellStyle name="Normal 9 3 2 2 7 3" xfId="12067" xr:uid="{17343656-3400-4838-97E0-9DF5F37D668F}"/>
    <cellStyle name="Normal 9 3 2 2 8" xfId="4893" xr:uid="{00000000-0005-0000-0000-0000D21F0000}"/>
    <cellStyle name="Normal 9 3 2 2 8 2" xfId="14219" xr:uid="{3AA3C7DE-B488-45F3-8A2E-F445D706C5AA}"/>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816C3010-8614-431B-8532-BED78242DA13}"/>
    <cellStyle name="Normal 9 3 2 3 2 2 3" xfId="12562" xr:uid="{49918715-82C4-4D13-83AC-8C35D06E15D8}"/>
    <cellStyle name="Normal 9 3 2 3 2 3" xfId="5308" xr:uid="{00000000-0005-0000-0000-0000D71F0000}"/>
    <cellStyle name="Normal 9 3 2 3 2 3 2" xfId="14634" xr:uid="{C32E763D-1F28-406B-823F-250CAA948D80}"/>
    <cellStyle name="Normal 9 3 2 3 2 4" xfId="9472" xr:uid="{427A8E71-9BC4-47C0-A855-6886AF96C97E}"/>
    <cellStyle name="Normal 9 3 2 3 2 5" xfId="10417" xr:uid="{DA5C80CE-D2C9-42B4-92C9-E55FDD539B38}"/>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63B02F73-37C5-4035-AAA9-E3CC049A072E}"/>
    <cellStyle name="Normal 9 3 2 3 3 2 3" xfId="12975" xr:uid="{D577A8B1-D1D8-496C-B2B9-6386696158C9}"/>
    <cellStyle name="Normal 9 3 2 3 3 3" xfId="5721" xr:uid="{00000000-0005-0000-0000-0000DB1F0000}"/>
    <cellStyle name="Normal 9 3 2 3 3 3 2" xfId="15047" xr:uid="{477954A8-7443-4565-897B-800E3C723BA5}"/>
    <cellStyle name="Normal 9 3 2 3 3 4" xfId="10830" xr:uid="{8C2ED8A4-2C95-4E46-BCF9-5488F921EDE0}"/>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6E215B83-F5A8-4496-89BA-1C40BEC4341E}"/>
    <cellStyle name="Normal 9 3 2 3 4 2 3" xfId="13388" xr:uid="{0D15C108-102D-4918-A78F-20BEFEA8FFC0}"/>
    <cellStyle name="Normal 9 3 2 3 4 3" xfId="6134" xr:uid="{00000000-0005-0000-0000-0000DF1F0000}"/>
    <cellStyle name="Normal 9 3 2 3 4 3 2" xfId="15460" xr:uid="{32112D36-E375-4BBB-9425-88E2EF98E385}"/>
    <cellStyle name="Normal 9 3 2 3 4 4" xfId="11243" xr:uid="{07A81525-BE26-428A-8155-2743AB37137D}"/>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FB950D3F-14FA-46AB-A2FA-7A0CC070E405}"/>
    <cellStyle name="Normal 9 3 2 3 5 2 3" xfId="13801" xr:uid="{56EF7EFD-C496-44D4-AF3B-B19387348870}"/>
    <cellStyle name="Normal 9 3 2 3 5 3" xfId="6547" xr:uid="{00000000-0005-0000-0000-0000E31F0000}"/>
    <cellStyle name="Normal 9 3 2 3 5 3 2" xfId="15873" xr:uid="{D8913081-54DB-4187-9A39-C5F0E5A4EA9F}"/>
    <cellStyle name="Normal 9 3 2 3 5 4" xfId="11656" xr:uid="{BF600FB8-E74B-4BDC-84D7-AD354F5ADFD0}"/>
    <cellStyle name="Normal 9 3 2 3 6" xfId="2677" xr:uid="{00000000-0005-0000-0000-0000E41F0000}"/>
    <cellStyle name="Normal 9 3 2 3 6 2" xfId="6960" xr:uid="{00000000-0005-0000-0000-0000E51F0000}"/>
    <cellStyle name="Normal 9 3 2 3 6 2 2" xfId="16286" xr:uid="{0881B0DF-372C-40EB-8066-9E45CA5D34DA}"/>
    <cellStyle name="Normal 9 3 2 3 6 3" xfId="12069" xr:uid="{2A90C22D-2F4E-42C5-8E4D-136E6B6A3CBE}"/>
    <cellStyle name="Normal 9 3 2 3 7" xfId="4895" xr:uid="{00000000-0005-0000-0000-0000E61F0000}"/>
    <cellStyle name="Normal 9 3 2 3 7 2" xfId="14221" xr:uid="{40A7CAAD-E4CD-4D2F-A1AA-38C2F831673D}"/>
    <cellStyle name="Normal 9 3 2 3 8" xfId="9047" xr:uid="{4CBBBE80-D24B-484D-910E-0072EA0E95DD}"/>
    <cellStyle name="Normal 9 3 2 3 9" xfId="10004" xr:uid="{9A645E46-DCE5-43FA-AFBD-4FB1851DA225}"/>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5406BCE0-E9A6-4DC8-B540-65FD99E3278A}"/>
    <cellStyle name="Normal 9 3 2 4 2 3" xfId="12559" xr:uid="{3796FA48-E441-4F44-96C0-0ACA8797080D}"/>
    <cellStyle name="Normal 9 3 2 4 3" xfId="5305" xr:uid="{00000000-0005-0000-0000-0000EA1F0000}"/>
    <cellStyle name="Normal 9 3 2 4 3 2" xfId="14631" xr:uid="{C560FEC0-A446-4AE8-A736-EDFD0412FB6D}"/>
    <cellStyle name="Normal 9 3 2 4 4" xfId="9265" xr:uid="{BF00A9B8-67BA-48F6-8D48-0E4380D60577}"/>
    <cellStyle name="Normal 9 3 2 4 5" xfId="10414" xr:uid="{07153B90-7777-4947-8A49-5B896CA2FCD5}"/>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BAB632C5-83A6-4249-B483-C2F8B4BB92FC}"/>
    <cellStyle name="Normal 9 3 2 5 2 3" xfId="12972" xr:uid="{5E5C455E-AFA9-4FBA-B361-EB3F4CF7559A}"/>
    <cellStyle name="Normal 9 3 2 5 3" xfId="5718" xr:uid="{00000000-0005-0000-0000-0000EE1F0000}"/>
    <cellStyle name="Normal 9 3 2 5 3 2" xfId="15044" xr:uid="{3543ED42-AC28-4A1D-8747-AA62A232A409}"/>
    <cellStyle name="Normal 9 3 2 5 4" xfId="10827" xr:uid="{EC57AE1B-6BF3-4E6F-9AB0-81EE710A9CC3}"/>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3E8A0BB8-CA57-42B4-AB6C-C23697353144}"/>
    <cellStyle name="Normal 9 3 2 6 2 3" xfId="13385" xr:uid="{9C4ABB23-1BD8-409B-8041-8D302553366A}"/>
    <cellStyle name="Normal 9 3 2 6 3" xfId="6131" xr:uid="{00000000-0005-0000-0000-0000F21F0000}"/>
    <cellStyle name="Normal 9 3 2 6 3 2" xfId="15457" xr:uid="{B3B48043-6643-4422-9E4A-6A43ED3F8EEE}"/>
    <cellStyle name="Normal 9 3 2 6 4" xfId="11240" xr:uid="{5387729B-7617-4642-AAE7-434CD1B76FC4}"/>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65BD862E-7E0C-4978-8657-84781A24793B}"/>
    <cellStyle name="Normal 9 3 2 7 2 3" xfId="13798" xr:uid="{4B7AF69F-5E80-4832-9C46-32774799B0A7}"/>
    <cellStyle name="Normal 9 3 2 7 3" xfId="6544" xr:uid="{00000000-0005-0000-0000-0000F61F0000}"/>
    <cellStyle name="Normal 9 3 2 7 3 2" xfId="15870" xr:uid="{43F22E61-AAB6-4A5A-AD70-5E580579F5AC}"/>
    <cellStyle name="Normal 9 3 2 7 4" xfId="11653" xr:uid="{C66555C4-0643-4128-BB62-F71637CF7805}"/>
    <cellStyle name="Normal 9 3 2 8" xfId="2674" xr:uid="{00000000-0005-0000-0000-0000F71F0000}"/>
    <cellStyle name="Normal 9 3 2 8 2" xfId="6957" xr:uid="{00000000-0005-0000-0000-0000F81F0000}"/>
    <cellStyle name="Normal 9 3 2 8 2 2" xfId="16283" xr:uid="{AB50790C-F0DF-42BA-A9A4-3A6B312CC028}"/>
    <cellStyle name="Normal 9 3 2 8 3" xfId="12066" xr:uid="{F1EE4078-A9A4-4B48-8E8F-F2840DB82064}"/>
    <cellStyle name="Normal 9 3 2 9" xfId="4892" xr:uid="{00000000-0005-0000-0000-0000F91F0000}"/>
    <cellStyle name="Normal 9 3 2 9 2" xfId="14218" xr:uid="{2BF00EEE-4EDF-490F-9735-00839120C8B1}"/>
    <cellStyle name="Normal 9 3 3" xfId="532" xr:uid="{00000000-0005-0000-0000-0000FA1F0000}"/>
    <cellStyle name="Normal 9 3 3 10" xfId="10005" xr:uid="{AEC11CDB-6B38-4EFD-B853-8C1F768F45B8}"/>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4735B3B7-1C5D-4D45-9233-BC3F56D49CC8}"/>
    <cellStyle name="Normal 9 3 3 2 2 2 3" xfId="12564" xr:uid="{C6B4127B-B806-4B06-9383-E6D933BC2954}"/>
    <cellStyle name="Normal 9 3 3 2 2 3" xfId="5310" xr:uid="{00000000-0005-0000-0000-0000FF1F0000}"/>
    <cellStyle name="Normal 9 3 3 2 2 3 2" xfId="14636" xr:uid="{BE7932D1-0174-4CBC-9454-964BC7607583}"/>
    <cellStyle name="Normal 9 3 3 2 2 4" xfId="9512" xr:uid="{2D87B26D-94B2-43FF-B3AD-59DF0A117D21}"/>
    <cellStyle name="Normal 9 3 3 2 2 5" xfId="10419" xr:uid="{5F36FD7C-757A-49C7-9786-8BCB3C2238E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C49FB4BE-8817-4EA3-8136-30C4819CB06D}"/>
    <cellStyle name="Normal 9 3 3 2 3 2 3" xfId="12977" xr:uid="{DEE7017E-F7DA-4BFD-BE37-9500E1283B1B}"/>
    <cellStyle name="Normal 9 3 3 2 3 3" xfId="5723" xr:uid="{00000000-0005-0000-0000-000003200000}"/>
    <cellStyle name="Normal 9 3 3 2 3 3 2" xfId="15049" xr:uid="{4220E733-4CFF-4C6A-84F0-134494A6AD20}"/>
    <cellStyle name="Normal 9 3 3 2 3 4" xfId="10832" xr:uid="{232D9089-F60D-41F8-883F-EC91000877FA}"/>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70F4F281-73C0-4D4B-902B-0DD62073D1BB}"/>
    <cellStyle name="Normal 9 3 3 2 4 2 3" xfId="13390" xr:uid="{A8AC4FF9-2704-46DD-98D6-65677EB70B2F}"/>
    <cellStyle name="Normal 9 3 3 2 4 3" xfId="6136" xr:uid="{00000000-0005-0000-0000-000007200000}"/>
    <cellStyle name="Normal 9 3 3 2 4 3 2" xfId="15462" xr:uid="{31EFB4B7-5347-439A-A2CB-5E9C73CF3C60}"/>
    <cellStyle name="Normal 9 3 3 2 4 4" xfId="11245" xr:uid="{380CBCCD-39F6-447C-A4D2-5DAA932201FC}"/>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23EF0E16-CCF9-4684-8A90-5836382D9F5D}"/>
    <cellStyle name="Normal 9 3 3 2 5 2 3" xfId="13803" xr:uid="{21C5D008-DCEB-466D-B58B-2098990B10DB}"/>
    <cellStyle name="Normal 9 3 3 2 5 3" xfId="6549" xr:uid="{00000000-0005-0000-0000-00000B200000}"/>
    <cellStyle name="Normal 9 3 3 2 5 3 2" xfId="15875" xr:uid="{B9C5D8F5-76C6-4148-ADA6-4549E4DF7353}"/>
    <cellStyle name="Normal 9 3 3 2 5 4" xfId="11658" xr:uid="{32BF0420-4AA9-4D49-B996-97558D48FF3F}"/>
    <cellStyle name="Normal 9 3 3 2 6" xfId="2679" xr:uid="{00000000-0005-0000-0000-00000C200000}"/>
    <cellStyle name="Normal 9 3 3 2 6 2" xfId="6962" xr:uid="{00000000-0005-0000-0000-00000D200000}"/>
    <cellStyle name="Normal 9 3 3 2 6 2 2" xfId="16288" xr:uid="{D6F84AA0-1B71-4782-B397-7664363747F6}"/>
    <cellStyle name="Normal 9 3 3 2 6 3" xfId="12071" xr:uid="{CA70450B-A52B-4636-A824-AE4402C8C0E3}"/>
    <cellStyle name="Normal 9 3 3 2 7" xfId="4897" xr:uid="{00000000-0005-0000-0000-00000E200000}"/>
    <cellStyle name="Normal 9 3 3 2 7 2" xfId="14223" xr:uid="{69FFC0F4-0F5E-4769-A006-FD3753CFFA81}"/>
    <cellStyle name="Normal 9 3 3 2 8" xfId="9087" xr:uid="{B1C8DB1F-59B6-4D6A-B3E7-0CFC4D29D9A9}"/>
    <cellStyle name="Normal 9 3 3 2 9" xfId="10006" xr:uid="{BF850998-C75D-42CE-B822-4CF445005EFD}"/>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6113D77A-DA7E-40A2-8827-C392D284CBBB}"/>
    <cellStyle name="Normal 9 3 3 3 2 3" xfId="12563" xr:uid="{2FB61F01-65FE-4988-9E92-03E587F2AA82}"/>
    <cellStyle name="Normal 9 3 3 3 3" xfId="5309" xr:uid="{00000000-0005-0000-0000-000012200000}"/>
    <cellStyle name="Normal 9 3 3 3 3 2" xfId="14635" xr:uid="{00CDD7FB-DEDF-4203-A4C7-B61AF613E6D4}"/>
    <cellStyle name="Normal 9 3 3 3 4" xfId="9305" xr:uid="{F54F3A88-B268-4905-B4D1-34B996B920C6}"/>
    <cellStyle name="Normal 9 3 3 3 5" xfId="10418" xr:uid="{22D7133A-DC1F-4E74-AFB2-9B3BE698AA94}"/>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C6F1F172-0956-46C6-A377-5DA9453E9896}"/>
    <cellStyle name="Normal 9 3 3 4 2 3" xfId="12976" xr:uid="{DF210F4C-4A9F-46E6-8C21-36B8018C85F7}"/>
    <cellStyle name="Normal 9 3 3 4 3" xfId="5722" xr:uid="{00000000-0005-0000-0000-000016200000}"/>
    <cellStyle name="Normal 9 3 3 4 3 2" xfId="15048" xr:uid="{1CC87177-CE74-4E2D-8C69-EF89E2133159}"/>
    <cellStyle name="Normal 9 3 3 4 4" xfId="10831" xr:uid="{02A6FA92-D90A-4735-94A0-5824264363B6}"/>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46CEA164-5548-4960-9730-09B562B1030E}"/>
    <cellStyle name="Normal 9 3 3 5 2 3" xfId="13389" xr:uid="{BA185DE2-97E6-44CC-9097-A8C533E92D12}"/>
    <cellStyle name="Normal 9 3 3 5 3" xfId="6135" xr:uid="{00000000-0005-0000-0000-00001A200000}"/>
    <cellStyle name="Normal 9 3 3 5 3 2" xfId="15461" xr:uid="{B8159DCF-77A0-407C-A40F-3BA15AAB4B79}"/>
    <cellStyle name="Normal 9 3 3 5 4" xfId="11244" xr:uid="{A7ACB46D-46C5-40A0-B838-8A10AA26AA2F}"/>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256A2CA9-8CAA-42C0-9C4F-A4DE67EF4B32}"/>
    <cellStyle name="Normal 9 3 3 6 2 3" xfId="13802" xr:uid="{2D1C9A92-CC71-4605-9C35-5833F364AD07}"/>
    <cellStyle name="Normal 9 3 3 6 3" xfId="6548" xr:uid="{00000000-0005-0000-0000-00001E200000}"/>
    <cellStyle name="Normal 9 3 3 6 3 2" xfId="15874" xr:uid="{15671D7E-26AF-468F-B3E9-8DD4F93793E2}"/>
    <cellStyle name="Normal 9 3 3 6 4" xfId="11657" xr:uid="{B322DB37-90D2-4DFA-B9F2-06F3468F8E40}"/>
    <cellStyle name="Normal 9 3 3 7" xfId="2678" xr:uid="{00000000-0005-0000-0000-00001F200000}"/>
    <cellStyle name="Normal 9 3 3 7 2" xfId="6961" xr:uid="{00000000-0005-0000-0000-000020200000}"/>
    <cellStyle name="Normal 9 3 3 7 2 2" xfId="16287" xr:uid="{E0F905CD-B3A4-498D-B3C5-B0692C45053B}"/>
    <cellStyle name="Normal 9 3 3 7 3" xfId="12070" xr:uid="{D632E51A-4E69-4553-A69A-9BDFB2F74C8F}"/>
    <cellStyle name="Normal 9 3 3 8" xfId="4896" xr:uid="{00000000-0005-0000-0000-000021200000}"/>
    <cellStyle name="Normal 9 3 3 8 2" xfId="14222" xr:uid="{6B46E36E-6BA8-4FCC-8FDA-979FBA3B0F3B}"/>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6B3C9B54-4D3A-4067-A9F8-67FBAAA70BC8}"/>
    <cellStyle name="Normal 9 3 4 2 2 3" xfId="12565" xr:uid="{B363F7CF-97A3-4FC3-A297-8014A8C8A1DB}"/>
    <cellStyle name="Normal 9 3 4 2 3" xfId="5311" xr:uid="{00000000-0005-0000-0000-000026200000}"/>
    <cellStyle name="Normal 9 3 4 2 3 2" xfId="14637" xr:uid="{6A53395F-A1A9-4F38-9B76-24B018E9076B}"/>
    <cellStyle name="Normal 9 3 4 2 4" xfId="9409" xr:uid="{F8EFC02C-357C-44AD-9BF7-6459F3C595DA}"/>
    <cellStyle name="Normal 9 3 4 2 5" xfId="10420" xr:uid="{388FAC81-BC65-454E-AEA3-B612CEAA03C9}"/>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9C364287-31DA-400C-B936-2297B30107A7}"/>
    <cellStyle name="Normal 9 3 4 3 2 3" xfId="12978" xr:uid="{4403ECD2-2E36-421E-9632-9B1532E2F7FA}"/>
    <cellStyle name="Normal 9 3 4 3 3" xfId="5724" xr:uid="{00000000-0005-0000-0000-00002A200000}"/>
    <cellStyle name="Normal 9 3 4 3 3 2" xfId="15050" xr:uid="{455B4619-34BE-4379-B672-AF8F7DFE58B0}"/>
    <cellStyle name="Normal 9 3 4 3 4" xfId="10833" xr:uid="{F19616B7-2DA7-4276-BC50-C04BB2EE33B0}"/>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290B051C-3F40-4D77-BAA9-97D1104DED7E}"/>
    <cellStyle name="Normal 9 3 4 4 2 3" xfId="13391" xr:uid="{3B243360-29B8-478C-85B4-1CD2484D374B}"/>
    <cellStyle name="Normal 9 3 4 4 3" xfId="6137" xr:uid="{00000000-0005-0000-0000-00002E200000}"/>
    <cellStyle name="Normal 9 3 4 4 3 2" xfId="15463" xr:uid="{A220EA77-FBA8-4074-B311-A86A30908BA3}"/>
    <cellStyle name="Normal 9 3 4 4 4" xfId="11246" xr:uid="{7782611B-55D9-4749-B45C-C7D785928033}"/>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B4F74F63-F5C4-4FCA-B1FC-4FBB61920651}"/>
    <cellStyle name="Normal 9 3 4 5 2 3" xfId="13804" xr:uid="{47778C6D-2506-401F-8491-6C3BDED4D90C}"/>
    <cellStyle name="Normal 9 3 4 5 3" xfId="6550" xr:uid="{00000000-0005-0000-0000-000032200000}"/>
    <cellStyle name="Normal 9 3 4 5 3 2" xfId="15876" xr:uid="{6D830A5F-E36B-499A-8BCC-CC6CDCC26521}"/>
    <cellStyle name="Normal 9 3 4 5 4" xfId="11659" xr:uid="{14774738-2010-4088-9831-3400D82B8D78}"/>
    <cellStyle name="Normal 9 3 4 6" xfId="2680" xr:uid="{00000000-0005-0000-0000-000033200000}"/>
    <cellStyle name="Normal 9 3 4 6 2" xfId="6963" xr:uid="{00000000-0005-0000-0000-000034200000}"/>
    <cellStyle name="Normal 9 3 4 6 2 2" xfId="16289" xr:uid="{021FDF57-58FC-4AD6-8148-F7D4B7B83BFA}"/>
    <cellStyle name="Normal 9 3 4 6 3" xfId="12072" xr:uid="{65BDE4DF-0585-4C0C-A68A-026DAED69513}"/>
    <cellStyle name="Normal 9 3 4 7" xfId="4898" xr:uid="{00000000-0005-0000-0000-000035200000}"/>
    <cellStyle name="Normal 9 3 4 7 2" xfId="14224" xr:uid="{ABEF5059-1675-44BD-BDFB-3E5EA03D62F9}"/>
    <cellStyle name="Normal 9 3 4 8" xfId="8984" xr:uid="{A39B104A-EAEF-4D5B-B504-6104111E924B}"/>
    <cellStyle name="Normal 9 3 4 9" xfId="10007" xr:uid="{E4E0890A-6BFD-45FE-9D3D-5CB780EBC927}"/>
    <cellStyle name="Normal 9 3 5" xfId="994" xr:uid="{00000000-0005-0000-0000-000036200000}"/>
    <cellStyle name="Normal 9 3 5 2" xfId="3227" xr:uid="{00000000-0005-0000-0000-000037200000}"/>
    <cellStyle name="Normal 9 3 5 2 2" xfId="7449" xr:uid="{00000000-0005-0000-0000-000038200000}"/>
    <cellStyle name="Normal 9 3 5 2 2 2" xfId="16775" xr:uid="{6AA97AD0-F2C0-4853-B136-96DD2544D3C5}"/>
    <cellStyle name="Normal 9 3 5 2 3" xfId="12558" xr:uid="{1D23EB51-D5AF-4BA4-9FB3-C087BE739E55}"/>
    <cellStyle name="Normal 9 3 5 3" xfId="5304" xr:uid="{00000000-0005-0000-0000-000039200000}"/>
    <cellStyle name="Normal 9 3 5 3 2" xfId="14630" xr:uid="{BD7D2EA8-A0CD-473B-9C11-03333116B099}"/>
    <cellStyle name="Normal 9 3 5 4" xfId="9201" xr:uid="{46D523D7-8DEB-46FB-8F1C-8CE8C2FC3AD3}"/>
    <cellStyle name="Normal 9 3 5 5" xfId="10413" xr:uid="{888F25A4-5EDF-4DB9-87B9-D9BF618EC702}"/>
    <cellStyle name="Normal 9 3 6" xfId="1410" xr:uid="{00000000-0005-0000-0000-00003A200000}"/>
    <cellStyle name="Normal 9 3 6 2" xfId="3640" xr:uid="{00000000-0005-0000-0000-00003B200000}"/>
    <cellStyle name="Normal 9 3 6 2 2" xfId="7862" xr:uid="{00000000-0005-0000-0000-00003C200000}"/>
    <cellStyle name="Normal 9 3 6 2 2 2" xfId="17188" xr:uid="{3C768E28-B74B-4A1E-A302-406CFD0AD527}"/>
    <cellStyle name="Normal 9 3 6 2 3" xfId="12971" xr:uid="{FA387E47-C57B-4E4E-8564-B18EF7A9A0FF}"/>
    <cellStyle name="Normal 9 3 6 3" xfId="5717" xr:uid="{00000000-0005-0000-0000-00003D200000}"/>
    <cellStyle name="Normal 9 3 6 3 2" xfId="15043" xr:uid="{1163FFDC-6AD1-4F73-8460-5F2520718C37}"/>
    <cellStyle name="Normal 9 3 6 4" xfId="10826" xr:uid="{1ED38E68-ED10-4175-A6D1-AF1E322AA8D8}"/>
    <cellStyle name="Normal 9 3 7" xfId="1823" xr:uid="{00000000-0005-0000-0000-00003E200000}"/>
    <cellStyle name="Normal 9 3 7 2" xfId="4053" xr:uid="{00000000-0005-0000-0000-00003F200000}"/>
    <cellStyle name="Normal 9 3 7 2 2" xfId="8275" xr:uid="{00000000-0005-0000-0000-000040200000}"/>
    <cellStyle name="Normal 9 3 7 2 2 2" xfId="17601" xr:uid="{412742FE-FB68-45DD-8099-9AD516D1CE5E}"/>
    <cellStyle name="Normal 9 3 7 2 3" xfId="13384" xr:uid="{9361FDAC-EEEC-4DD8-896C-1D2CC3FDA0C9}"/>
    <cellStyle name="Normal 9 3 7 3" xfId="6130" xr:uid="{00000000-0005-0000-0000-000041200000}"/>
    <cellStyle name="Normal 9 3 7 3 2" xfId="15456" xr:uid="{21231581-4E79-4537-8D40-ECBA9FB71140}"/>
    <cellStyle name="Normal 9 3 7 4" xfId="11239" xr:uid="{5004EBCB-EE46-4DCF-9437-E3E329D70CF7}"/>
    <cellStyle name="Normal 9 3 8" xfId="2237" xr:uid="{00000000-0005-0000-0000-000042200000}"/>
    <cellStyle name="Normal 9 3 8 2" xfId="4466" xr:uid="{00000000-0005-0000-0000-000043200000}"/>
    <cellStyle name="Normal 9 3 8 2 2" xfId="8688" xr:uid="{00000000-0005-0000-0000-000044200000}"/>
    <cellStyle name="Normal 9 3 8 2 2 2" xfId="18014" xr:uid="{444C91C6-E58C-40ED-8D5F-CCA69186427D}"/>
    <cellStyle name="Normal 9 3 8 2 3" xfId="13797" xr:uid="{ABED1B71-2CE8-4697-97C3-633CEFEA1263}"/>
    <cellStyle name="Normal 9 3 8 3" xfId="6543" xr:uid="{00000000-0005-0000-0000-000045200000}"/>
    <cellStyle name="Normal 9 3 8 3 2" xfId="15869" xr:uid="{30825261-A7E0-4F30-979E-5481738F9284}"/>
    <cellStyle name="Normal 9 3 8 4" xfId="11652" xr:uid="{66A96DC1-8634-4B11-80EE-C25C53D17319}"/>
    <cellStyle name="Normal 9 3 9" xfId="2673" xr:uid="{00000000-0005-0000-0000-000046200000}"/>
    <cellStyle name="Normal 9 3 9 2" xfId="6956" xr:uid="{00000000-0005-0000-0000-000047200000}"/>
    <cellStyle name="Normal 9 3 9 2 2" xfId="16282" xr:uid="{64A38E74-6FB7-41E8-B4B2-BE111F1A2806}"/>
    <cellStyle name="Normal 9 3 9 3" xfId="12065" xr:uid="{1B1A836B-BCC7-47A7-BEBE-62ED522F274E}"/>
    <cellStyle name="Normal 9 4" xfId="535" xr:uid="{00000000-0005-0000-0000-000048200000}"/>
    <cellStyle name="Normal 9 4 2" xfId="1002" xr:uid="{00000000-0005-0000-0000-000049200000}"/>
    <cellStyle name="Normal 9 5" xfId="536" xr:uid="{00000000-0005-0000-0000-00004A200000}"/>
    <cellStyle name="Normal 9 5 10" xfId="10008" xr:uid="{16016E18-2B84-4E81-9CFB-2E4FBABC1FD5}"/>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2C53829E-1BDF-4607-97AC-24920ED9E1E3}"/>
    <cellStyle name="Normal 9 5 2 2 2 3" xfId="12567" xr:uid="{9EB6E2FC-D23F-441C-AC2D-F2CBEC428436}"/>
    <cellStyle name="Normal 9 5 2 2 3" xfId="5313" xr:uid="{00000000-0005-0000-0000-00004F200000}"/>
    <cellStyle name="Normal 9 5 2 2 3 2" xfId="14639" xr:uid="{E693EBF1-DDB7-4A36-A39A-1B0C9FD7A03E}"/>
    <cellStyle name="Normal 9 5 2 2 4" xfId="9480" xr:uid="{BC9702BE-C2B3-450A-99DF-6FFE7C7A82FD}"/>
    <cellStyle name="Normal 9 5 2 2 5" xfId="10422" xr:uid="{0ACEA8FA-EC87-403B-B4F9-0D6E57F853EF}"/>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8DB47337-8F26-4E92-BF57-182464D65C79}"/>
    <cellStyle name="Normal 9 5 2 3 2 3" xfId="12980" xr:uid="{E6B9B8E0-E23A-43CB-89D4-44D894F98A04}"/>
    <cellStyle name="Normal 9 5 2 3 3" xfId="5726" xr:uid="{00000000-0005-0000-0000-000053200000}"/>
    <cellStyle name="Normal 9 5 2 3 3 2" xfId="15052" xr:uid="{92DB22A5-CC0A-4C34-86E6-6DAFE749A073}"/>
    <cellStyle name="Normal 9 5 2 3 4" xfId="10835" xr:uid="{F5B157E4-D15F-41F7-A97D-6804707A009C}"/>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8204497F-283B-42A2-8A61-1DB29E20FEFA}"/>
    <cellStyle name="Normal 9 5 2 4 2 3" xfId="13393" xr:uid="{76F093A6-CD81-490A-BAED-B4480BB48EA7}"/>
    <cellStyle name="Normal 9 5 2 4 3" xfId="6139" xr:uid="{00000000-0005-0000-0000-000057200000}"/>
    <cellStyle name="Normal 9 5 2 4 3 2" xfId="15465" xr:uid="{097FA995-D164-4D38-9649-4AA7B25C245E}"/>
    <cellStyle name="Normal 9 5 2 4 4" xfId="11248" xr:uid="{F4002C7E-DEF0-47C4-BD3C-F21C2187438E}"/>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04B8319B-D01E-49A9-B5DC-E986210A01D7}"/>
    <cellStyle name="Normal 9 5 2 5 2 3" xfId="13806" xr:uid="{698700CF-B9FC-40CE-B0A2-B6B3954CD2A5}"/>
    <cellStyle name="Normal 9 5 2 5 3" xfId="6552" xr:uid="{00000000-0005-0000-0000-00005B200000}"/>
    <cellStyle name="Normal 9 5 2 5 3 2" xfId="15878" xr:uid="{80097790-9749-4ECD-9BA9-6C73BDA5F0EB}"/>
    <cellStyle name="Normal 9 5 2 5 4" xfId="11661" xr:uid="{632AC872-B952-4E00-B8A4-131A99D1D340}"/>
    <cellStyle name="Normal 9 5 2 6" xfId="2682" xr:uid="{00000000-0005-0000-0000-00005C200000}"/>
    <cellStyle name="Normal 9 5 2 6 2" xfId="6965" xr:uid="{00000000-0005-0000-0000-00005D200000}"/>
    <cellStyle name="Normal 9 5 2 6 2 2" xfId="16291" xr:uid="{076873EA-1E87-422D-9EF9-09B44CAAEBA5}"/>
    <cellStyle name="Normal 9 5 2 6 3" xfId="12074" xr:uid="{FAA1046E-83FC-4E05-AF52-51A03595479C}"/>
    <cellStyle name="Normal 9 5 2 7" xfId="4900" xr:uid="{00000000-0005-0000-0000-00005E200000}"/>
    <cellStyle name="Normal 9 5 2 7 2" xfId="14226" xr:uid="{5355F8EE-F240-43E6-935A-99F74D78F264}"/>
    <cellStyle name="Normal 9 5 2 8" xfId="9055" xr:uid="{3DD071E2-A4B3-45E3-9F20-3C2D5AEE5CB2}"/>
    <cellStyle name="Normal 9 5 2 9" xfId="10009" xr:uid="{30907519-3D6A-4726-B541-0E2362B8A371}"/>
    <cellStyle name="Normal 9 5 3" xfId="1003" xr:uid="{00000000-0005-0000-0000-00005F200000}"/>
    <cellStyle name="Normal 9 5 3 2" xfId="3235" xr:uid="{00000000-0005-0000-0000-000060200000}"/>
    <cellStyle name="Normal 9 5 3 2 2" xfId="7457" xr:uid="{00000000-0005-0000-0000-000061200000}"/>
    <cellStyle name="Normal 9 5 3 2 2 2" xfId="16783" xr:uid="{4C7E45FA-B651-4EF1-9A49-ACFDB2A47822}"/>
    <cellStyle name="Normal 9 5 3 2 3" xfId="12566" xr:uid="{F0102501-DA69-4682-B853-6C7A842ED827}"/>
    <cellStyle name="Normal 9 5 3 3" xfId="5312" xr:uid="{00000000-0005-0000-0000-000062200000}"/>
    <cellStyle name="Normal 9 5 3 3 2" xfId="14638" xr:uid="{ADB98E1B-AD25-4CE8-B53E-4E059DA44DE9}"/>
    <cellStyle name="Normal 9 5 3 4" xfId="9273" xr:uid="{AE6CB61B-02C5-436E-A328-3B2AC8AC9E53}"/>
    <cellStyle name="Normal 9 5 3 5" xfId="10421" xr:uid="{270C7F23-EDF8-49BE-A7CA-0BD396E601B0}"/>
    <cellStyle name="Normal 9 5 4" xfId="1418" xr:uid="{00000000-0005-0000-0000-000063200000}"/>
    <cellStyle name="Normal 9 5 4 2" xfId="3648" xr:uid="{00000000-0005-0000-0000-000064200000}"/>
    <cellStyle name="Normal 9 5 4 2 2" xfId="7870" xr:uid="{00000000-0005-0000-0000-000065200000}"/>
    <cellStyle name="Normal 9 5 4 2 2 2" xfId="17196" xr:uid="{22881CD8-0E0E-452E-9FAB-5C4CC1FD6C16}"/>
    <cellStyle name="Normal 9 5 4 2 3" xfId="12979" xr:uid="{BA5F50EB-84F0-4377-B62E-E60E1BE70223}"/>
    <cellStyle name="Normal 9 5 4 3" xfId="5725" xr:uid="{00000000-0005-0000-0000-000066200000}"/>
    <cellStyle name="Normal 9 5 4 3 2" xfId="15051" xr:uid="{8094F2FC-B802-430A-8427-35F17EA1890D}"/>
    <cellStyle name="Normal 9 5 4 4" xfId="10834" xr:uid="{7887A7A2-0D6C-4D99-9149-F2F5A6ED1D85}"/>
    <cellStyle name="Normal 9 5 5" xfId="1831" xr:uid="{00000000-0005-0000-0000-000067200000}"/>
    <cellStyle name="Normal 9 5 5 2" xfId="4061" xr:uid="{00000000-0005-0000-0000-000068200000}"/>
    <cellStyle name="Normal 9 5 5 2 2" xfId="8283" xr:uid="{00000000-0005-0000-0000-000069200000}"/>
    <cellStyle name="Normal 9 5 5 2 2 2" xfId="17609" xr:uid="{2A159FEB-176F-4A54-BFB6-FF35C7B93DAE}"/>
    <cellStyle name="Normal 9 5 5 2 3" xfId="13392" xr:uid="{9998626C-7B76-4D56-9815-E444023D97CA}"/>
    <cellStyle name="Normal 9 5 5 3" xfId="6138" xr:uid="{00000000-0005-0000-0000-00006A200000}"/>
    <cellStyle name="Normal 9 5 5 3 2" xfId="15464" xr:uid="{16FC66A1-7AD2-42E5-9F38-2FC2B0083B83}"/>
    <cellStyle name="Normal 9 5 5 4" xfId="11247" xr:uid="{BBAC5BB6-7BE5-4FE7-9F50-8B919F2BA52C}"/>
    <cellStyle name="Normal 9 5 6" xfId="2245" xr:uid="{00000000-0005-0000-0000-00006B200000}"/>
    <cellStyle name="Normal 9 5 6 2" xfId="4474" xr:uid="{00000000-0005-0000-0000-00006C200000}"/>
    <cellStyle name="Normal 9 5 6 2 2" xfId="8696" xr:uid="{00000000-0005-0000-0000-00006D200000}"/>
    <cellStyle name="Normal 9 5 6 2 2 2" xfId="18022" xr:uid="{2638C83A-BD0C-41A8-BDE7-A78A6A0AAAE1}"/>
    <cellStyle name="Normal 9 5 6 2 3" xfId="13805" xr:uid="{59DA97E3-749D-4703-8459-E6550F2A8CD8}"/>
    <cellStyle name="Normal 9 5 6 3" xfId="6551" xr:uid="{00000000-0005-0000-0000-00006E200000}"/>
    <cellStyle name="Normal 9 5 6 3 2" xfId="15877" xr:uid="{AB9C8B83-29A9-41F9-9F09-F2BB454A36C4}"/>
    <cellStyle name="Normal 9 5 6 4" xfId="11660" xr:uid="{5D0CFA0A-B0D5-4DBC-B613-5BBFC7BF6D96}"/>
    <cellStyle name="Normal 9 5 7" xfId="2681" xr:uid="{00000000-0005-0000-0000-00006F200000}"/>
    <cellStyle name="Normal 9 5 7 2" xfId="6964" xr:uid="{00000000-0005-0000-0000-000070200000}"/>
    <cellStyle name="Normal 9 5 7 2 2" xfId="16290" xr:uid="{8128B6E9-5514-4963-B21E-CA0BBD34A904}"/>
    <cellStyle name="Normal 9 5 7 3" xfId="12073" xr:uid="{AC811C0F-7B61-488F-8BAD-F8B6C813278E}"/>
    <cellStyle name="Normal 9 5 8" xfId="4899" xr:uid="{00000000-0005-0000-0000-000071200000}"/>
    <cellStyle name="Normal 9 5 8 2" xfId="14225" xr:uid="{69EC456F-F793-4E6E-8F84-410A9699AB4C}"/>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7AE6310B-79A7-467F-8603-105CA0196A6A}"/>
    <cellStyle name="Normal 9 6 2 2 3" xfId="12568" xr:uid="{C8AED8F4-033C-4E70-9F79-48E3DF753092}"/>
    <cellStyle name="Normal 9 6 2 3" xfId="5314" xr:uid="{00000000-0005-0000-0000-000076200000}"/>
    <cellStyle name="Normal 9 6 2 3 2" xfId="14640" xr:uid="{F525E2E3-9338-4C81-A590-9EB15311FC10}"/>
    <cellStyle name="Normal 9 6 2 4" xfId="9389" xr:uid="{2A0458F6-466A-4C3B-BA39-FF09FD770FDD}"/>
    <cellStyle name="Normal 9 6 2 5" xfId="10423" xr:uid="{50750A28-3824-463A-87AF-A1C1C0792773}"/>
    <cellStyle name="Normal 9 6 3" xfId="1420" xr:uid="{00000000-0005-0000-0000-000077200000}"/>
    <cellStyle name="Normal 9 6 3 2" xfId="3650" xr:uid="{00000000-0005-0000-0000-000078200000}"/>
    <cellStyle name="Normal 9 6 3 2 2" xfId="7872" xr:uid="{00000000-0005-0000-0000-000079200000}"/>
    <cellStyle name="Normal 9 6 3 2 2 2" xfId="17198" xr:uid="{A2F5A955-65BD-4ADB-81FF-3FAECD2C24E3}"/>
    <cellStyle name="Normal 9 6 3 2 3" xfId="12981" xr:uid="{E9F8532C-10E6-4390-9A91-441E34A8290F}"/>
    <cellStyle name="Normal 9 6 3 3" xfId="5727" xr:uid="{00000000-0005-0000-0000-00007A200000}"/>
    <cellStyle name="Normal 9 6 3 3 2" xfId="15053" xr:uid="{5E75CF8D-147D-493A-9CEF-3D5E8C00F0FD}"/>
    <cellStyle name="Normal 9 6 3 4" xfId="10836" xr:uid="{1B4F9C3B-9C5F-43DA-B309-AEA484D7D9EA}"/>
    <cellStyle name="Normal 9 6 4" xfId="1833" xr:uid="{00000000-0005-0000-0000-00007B200000}"/>
    <cellStyle name="Normal 9 6 4 2" xfId="4063" xr:uid="{00000000-0005-0000-0000-00007C200000}"/>
    <cellStyle name="Normal 9 6 4 2 2" xfId="8285" xr:uid="{00000000-0005-0000-0000-00007D200000}"/>
    <cellStyle name="Normal 9 6 4 2 2 2" xfId="17611" xr:uid="{1A551C3B-78CD-4061-9E41-F9B18A2C2879}"/>
    <cellStyle name="Normal 9 6 4 2 3" xfId="13394" xr:uid="{59C9134F-ED27-4809-A803-48BC51C1BE44}"/>
    <cellStyle name="Normal 9 6 4 3" xfId="6140" xr:uid="{00000000-0005-0000-0000-00007E200000}"/>
    <cellStyle name="Normal 9 6 4 3 2" xfId="15466" xr:uid="{299258BF-E478-4060-AB62-3D65FEB218D1}"/>
    <cellStyle name="Normal 9 6 4 4" xfId="11249" xr:uid="{F87920CA-5919-4467-9F5B-0096C5C22C6D}"/>
    <cellStyle name="Normal 9 6 5" xfId="2247" xr:uid="{00000000-0005-0000-0000-00007F200000}"/>
    <cellStyle name="Normal 9 6 5 2" xfId="4476" xr:uid="{00000000-0005-0000-0000-000080200000}"/>
    <cellStyle name="Normal 9 6 5 2 2" xfId="8698" xr:uid="{00000000-0005-0000-0000-000081200000}"/>
    <cellStyle name="Normal 9 6 5 2 2 2" xfId="18024" xr:uid="{5A32A540-8DC4-4026-B119-2261F672E72F}"/>
    <cellStyle name="Normal 9 6 5 2 3" xfId="13807" xr:uid="{53646672-629E-48AF-99B0-0ABFA50AC441}"/>
    <cellStyle name="Normal 9 6 5 3" xfId="6553" xr:uid="{00000000-0005-0000-0000-000082200000}"/>
    <cellStyle name="Normal 9 6 5 3 2" xfId="15879" xr:uid="{439FBB63-6CA4-4BFC-81E9-EA74A7693453}"/>
    <cellStyle name="Normal 9 6 5 4" xfId="11662" xr:uid="{3C1B5ECC-F863-4488-8D53-94FB801B4313}"/>
    <cellStyle name="Normal 9 6 6" xfId="2683" xr:uid="{00000000-0005-0000-0000-000083200000}"/>
    <cellStyle name="Normal 9 6 6 2" xfId="6966" xr:uid="{00000000-0005-0000-0000-000084200000}"/>
    <cellStyle name="Normal 9 6 6 2 2" xfId="16292" xr:uid="{EC5A84A5-7DBB-421B-A29D-B754002C8B60}"/>
    <cellStyle name="Normal 9 6 6 3" xfId="12075" xr:uid="{E6F5823C-C709-4B6C-BF44-E912FC2219A9}"/>
    <cellStyle name="Normal 9 6 7" xfId="4901" xr:uid="{00000000-0005-0000-0000-000085200000}"/>
    <cellStyle name="Normal 9 6 7 2" xfId="14227" xr:uid="{EB594AC0-8A98-4933-9DA9-1555B6AA360B}"/>
    <cellStyle name="Normal 9 6 8" xfId="8964" xr:uid="{9BBC9C46-7A3A-4BC9-9542-DC33DFA165C2}"/>
    <cellStyle name="Normal 9 6 9" xfId="10010" xr:uid="{5D9B6692-A6A3-4D26-B398-B4C377A37651}"/>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CF2EAE8C-5064-493D-9FBE-6FEF9A417EEA}"/>
    <cellStyle name="Note 2 2 10 3" xfId="12156" xr:uid="{0848E415-61B9-4B5B-A57E-BEAC55B56A49}"/>
    <cellStyle name="Note 2 2 11" xfId="4902" xr:uid="{00000000-0005-0000-0000-000094200000}"/>
    <cellStyle name="Note 2 2 11 2" xfId="14228" xr:uid="{2C8ECAAD-D93C-425E-9F2D-E1C07154DE5E}"/>
    <cellStyle name="Note 2 2 12" xfId="8841" xr:uid="{E94E1FD8-31C4-4718-9658-C7A587CBF323}"/>
    <cellStyle name="Note 2 2 13" xfId="10011" xr:uid="{B5FE2AF6-AFC8-4277-88DA-4EA1D8CE6C55}"/>
    <cellStyle name="Note 2 2 2" xfId="546" xr:uid="{00000000-0005-0000-0000-000095200000}"/>
    <cellStyle name="Note 2 2 2 10" xfId="4903" xr:uid="{00000000-0005-0000-0000-000096200000}"/>
    <cellStyle name="Note 2 2 2 10 2" xfId="14229" xr:uid="{95B34E99-9079-496E-B026-41F18C9A4D0F}"/>
    <cellStyle name="Note 2 2 2 11" xfId="8944" xr:uid="{B75A3404-A4A3-41D6-B6C3-54560C6DD592}"/>
    <cellStyle name="Note 2 2 2 12" xfId="10012" xr:uid="{5C8E4F63-AAF4-4596-A5ED-8C6E16E66113}"/>
    <cellStyle name="Note 2 2 2 2" xfId="547" xr:uid="{00000000-0005-0000-0000-000097200000}"/>
    <cellStyle name="Note 2 2 2 2 10" xfId="9151" xr:uid="{DE810DD8-00EC-4339-9CFC-C84D5E182971}"/>
    <cellStyle name="Note 2 2 2 2 11" xfId="10013" xr:uid="{6D603CDD-3C00-487B-AE28-DCBF3E9C6DD0}"/>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25AFA9EA-4A84-4479-BB0D-2FC56A69B534}"/>
    <cellStyle name="Note 2 2 2 2 2 2 3" xfId="12571" xr:uid="{605A1C1C-C2BC-4AFE-BA81-2C69039F460E}"/>
    <cellStyle name="Note 2 2 2 2 2 3" xfId="5317" xr:uid="{00000000-0005-0000-0000-00009B200000}"/>
    <cellStyle name="Note 2 2 2 2 2 3 2" xfId="14643" xr:uid="{5294514C-BFF8-4BE1-BFD2-635D5A495265}"/>
    <cellStyle name="Note 2 2 2 2 2 4" xfId="9576" xr:uid="{375E296C-598F-454E-B7C4-9E851CE02ED2}"/>
    <cellStyle name="Note 2 2 2 2 2 5" xfId="10426" xr:uid="{AFB6D8F5-DB75-4C48-8323-8264CD46EEE1}"/>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63BDE907-2402-489A-ACA9-36D1B283E2F9}"/>
    <cellStyle name="Note 2 2 2 2 3 2 3" xfId="12984" xr:uid="{43273791-DE36-4154-AE8F-F765EF5B1BA8}"/>
    <cellStyle name="Note 2 2 2 2 3 3" xfId="5730" xr:uid="{00000000-0005-0000-0000-00009F200000}"/>
    <cellStyle name="Note 2 2 2 2 3 3 2" xfId="15056" xr:uid="{691988CF-6523-4DA9-A6EC-E2218D5C97AF}"/>
    <cellStyle name="Note 2 2 2 2 3 4" xfId="10839" xr:uid="{CF557071-3775-4B1A-AAA1-39CC6FA94B57}"/>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A42C26AC-5DDE-470A-853B-4BB0D5A1CC96}"/>
    <cellStyle name="Note 2 2 2 2 4 2 3" xfId="13397" xr:uid="{5DD952BC-2291-43E2-B5FB-D9AAACD81045}"/>
    <cellStyle name="Note 2 2 2 2 4 3" xfId="6143" xr:uid="{00000000-0005-0000-0000-0000A3200000}"/>
    <cellStyle name="Note 2 2 2 2 4 3 2" xfId="15469" xr:uid="{057B1FAC-5ADE-45E0-9B9A-4C3DB63B1634}"/>
    <cellStyle name="Note 2 2 2 2 4 4" xfId="11252" xr:uid="{DD4CC8D7-3C17-48D6-8A94-08F026C11196}"/>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DE76F886-28F2-41FC-9D43-70541D6304D4}"/>
    <cellStyle name="Note 2 2 2 2 5 2 3" xfId="13810" xr:uid="{42281406-0371-4CC0-A2A8-BF761687C4B8}"/>
    <cellStyle name="Note 2 2 2 2 5 3" xfId="6556" xr:uid="{00000000-0005-0000-0000-0000A7200000}"/>
    <cellStyle name="Note 2 2 2 2 5 3 2" xfId="15882" xr:uid="{1E9C3298-66AE-40AC-81A6-C4D4321C0FCC}"/>
    <cellStyle name="Note 2 2 2 2 5 4" xfId="11665" xr:uid="{06487488-A1F4-4CA1-85D7-8C8DC79CF221}"/>
    <cellStyle name="Note 2 2 2 2 6" xfId="2686" xr:uid="{00000000-0005-0000-0000-0000A8200000}"/>
    <cellStyle name="Note 2 2 2 2 6 2" xfId="6969" xr:uid="{00000000-0005-0000-0000-0000A9200000}"/>
    <cellStyle name="Note 2 2 2 2 6 2 2" xfId="16295" xr:uid="{1F682E58-00E4-4008-B417-B57647DBCE7E}"/>
    <cellStyle name="Note 2 2 2 2 6 3" xfId="12078" xr:uid="{A7419FC8-4712-4236-BE22-78E2C8A0C821}"/>
    <cellStyle name="Note 2 2 2 2 7" xfId="2745" xr:uid="{00000000-0005-0000-0000-0000AA200000}"/>
    <cellStyle name="Note 2 2 2 2 8" xfId="2826" xr:uid="{00000000-0005-0000-0000-0000AB200000}"/>
    <cellStyle name="Note 2 2 2 2 8 2" xfId="7049" xr:uid="{00000000-0005-0000-0000-0000AC200000}"/>
    <cellStyle name="Note 2 2 2 2 8 2 2" xfId="16375" xr:uid="{94F5E8C3-5992-4BE8-AEB2-4F860C8C13C3}"/>
    <cellStyle name="Note 2 2 2 2 8 3" xfId="12158" xr:uid="{A44E12E6-5618-412E-8402-129FF96F1169}"/>
    <cellStyle name="Note 2 2 2 2 9" xfId="4904" xr:uid="{00000000-0005-0000-0000-0000AD200000}"/>
    <cellStyle name="Note 2 2 2 2 9 2" xfId="14230" xr:uid="{3E51D62D-B368-41A5-BAD5-F4B434A910FE}"/>
    <cellStyle name="Note 2 2 2 3" xfId="1007" xr:uid="{00000000-0005-0000-0000-0000AE200000}"/>
    <cellStyle name="Note 2 2 2 3 2" xfId="3239" xr:uid="{00000000-0005-0000-0000-0000AF200000}"/>
    <cellStyle name="Note 2 2 2 3 2 2" xfId="7461" xr:uid="{00000000-0005-0000-0000-0000B0200000}"/>
    <cellStyle name="Note 2 2 2 3 2 2 2" xfId="16787" xr:uid="{919E99AE-BA2B-40A5-AC46-0EF759C0284E}"/>
    <cellStyle name="Note 2 2 2 3 2 3" xfId="12570" xr:uid="{E95743F9-40E4-4AE4-AC8C-62B1A768D158}"/>
    <cellStyle name="Note 2 2 2 3 3" xfId="5316" xr:uid="{00000000-0005-0000-0000-0000B1200000}"/>
    <cellStyle name="Note 2 2 2 3 3 2" xfId="14642" xr:uid="{A0E08AF9-CC23-4075-AEA6-8D6C92A9F709}"/>
    <cellStyle name="Note 2 2 2 3 4" xfId="9369" xr:uid="{37FCA23B-964B-404F-A343-B489211FDCDC}"/>
    <cellStyle name="Note 2 2 2 3 5" xfId="10425" xr:uid="{FBBE12F5-303E-4046-B0C4-75C72177920F}"/>
    <cellStyle name="Note 2 2 2 4" xfId="1422" xr:uid="{00000000-0005-0000-0000-0000B2200000}"/>
    <cellStyle name="Note 2 2 2 4 2" xfId="3652" xr:uid="{00000000-0005-0000-0000-0000B3200000}"/>
    <cellStyle name="Note 2 2 2 4 2 2" xfId="7874" xr:uid="{00000000-0005-0000-0000-0000B4200000}"/>
    <cellStyle name="Note 2 2 2 4 2 2 2" xfId="17200" xr:uid="{32766636-80AB-49E2-97C3-85AB454C6210}"/>
    <cellStyle name="Note 2 2 2 4 2 3" xfId="12983" xr:uid="{3E53E864-34F3-4BAA-9214-138592E98624}"/>
    <cellStyle name="Note 2 2 2 4 3" xfId="5729" xr:uid="{00000000-0005-0000-0000-0000B5200000}"/>
    <cellStyle name="Note 2 2 2 4 3 2" xfId="15055" xr:uid="{1836267A-F72F-4818-8343-D3D16B6D1931}"/>
    <cellStyle name="Note 2 2 2 4 4" xfId="10838" xr:uid="{4ED38C41-6BFB-4AC3-9692-737557E4A498}"/>
    <cellStyle name="Note 2 2 2 5" xfId="1836" xr:uid="{00000000-0005-0000-0000-0000B6200000}"/>
    <cellStyle name="Note 2 2 2 5 2" xfId="4065" xr:uid="{00000000-0005-0000-0000-0000B7200000}"/>
    <cellStyle name="Note 2 2 2 5 2 2" xfId="8287" xr:uid="{00000000-0005-0000-0000-0000B8200000}"/>
    <cellStyle name="Note 2 2 2 5 2 2 2" xfId="17613" xr:uid="{FD9470C1-6BCD-438E-8414-F614033B7EB3}"/>
    <cellStyle name="Note 2 2 2 5 2 3" xfId="13396" xr:uid="{205162EE-F62F-4F39-B397-F3354BDF9A0D}"/>
    <cellStyle name="Note 2 2 2 5 3" xfId="6142" xr:uid="{00000000-0005-0000-0000-0000B9200000}"/>
    <cellStyle name="Note 2 2 2 5 3 2" xfId="15468" xr:uid="{AF5FE8EE-137E-45DE-8E45-B6B86A05158D}"/>
    <cellStyle name="Note 2 2 2 5 4" xfId="11251" xr:uid="{B7E99F8B-77E9-461C-87A3-DEC7D70B3173}"/>
    <cellStyle name="Note 2 2 2 6" xfId="2249" xr:uid="{00000000-0005-0000-0000-0000BA200000}"/>
    <cellStyle name="Note 2 2 2 6 2" xfId="4478" xr:uid="{00000000-0005-0000-0000-0000BB200000}"/>
    <cellStyle name="Note 2 2 2 6 2 2" xfId="8700" xr:uid="{00000000-0005-0000-0000-0000BC200000}"/>
    <cellStyle name="Note 2 2 2 6 2 2 2" xfId="18026" xr:uid="{850E0BA2-AD71-47EA-A096-229D4C6549A6}"/>
    <cellStyle name="Note 2 2 2 6 2 3" xfId="13809" xr:uid="{D2D3B50D-DA18-4417-9520-DD3E6389F177}"/>
    <cellStyle name="Note 2 2 2 6 3" xfId="6555" xr:uid="{00000000-0005-0000-0000-0000BD200000}"/>
    <cellStyle name="Note 2 2 2 6 3 2" xfId="15881" xr:uid="{7E75528C-40E0-4D80-83C6-B9635A28279D}"/>
    <cellStyle name="Note 2 2 2 6 4" xfId="11664" xr:uid="{ABD1CEFC-39E7-4B52-BCA3-50AEE6D3A2F1}"/>
    <cellStyle name="Note 2 2 2 7" xfId="2685" xr:uid="{00000000-0005-0000-0000-0000BE200000}"/>
    <cellStyle name="Note 2 2 2 7 2" xfId="6968" xr:uid="{00000000-0005-0000-0000-0000BF200000}"/>
    <cellStyle name="Note 2 2 2 7 2 2" xfId="16294" xr:uid="{272C29C7-3D52-48FA-9624-FD202A8BE9BC}"/>
    <cellStyle name="Note 2 2 2 7 3" xfId="12077" xr:uid="{145EC357-B5AC-4550-A1E4-CDAC963CC241}"/>
    <cellStyle name="Note 2 2 2 8" xfId="2744" xr:uid="{00000000-0005-0000-0000-0000C0200000}"/>
    <cellStyle name="Note 2 2 2 9" xfId="2825" xr:uid="{00000000-0005-0000-0000-0000C1200000}"/>
    <cellStyle name="Note 2 2 2 9 2" xfId="7048" xr:uid="{00000000-0005-0000-0000-0000C2200000}"/>
    <cellStyle name="Note 2 2 2 9 2 2" xfId="16374" xr:uid="{D25C5774-C0F6-481D-891A-7036102B5735}"/>
    <cellStyle name="Note 2 2 2 9 3" xfId="12157" xr:uid="{F90146C0-DEFA-459C-8EBD-B7EB09DD3110}"/>
    <cellStyle name="Note 2 2 3" xfId="548" xr:uid="{00000000-0005-0000-0000-0000C3200000}"/>
    <cellStyle name="Note 2 2 3 10" xfId="9048" xr:uid="{894401FF-B7D8-49E8-91E6-A1C42DD04D54}"/>
    <cellStyle name="Note 2 2 3 11" xfId="10014" xr:uid="{133CAA7A-F605-4082-AFBA-71FC1AE13FF4}"/>
    <cellStyle name="Note 2 2 3 2" xfId="1009" xr:uid="{00000000-0005-0000-0000-0000C4200000}"/>
    <cellStyle name="Note 2 2 3 2 2" xfId="3241" xr:uid="{00000000-0005-0000-0000-0000C5200000}"/>
    <cellStyle name="Note 2 2 3 2 2 2" xfId="7463" xr:uid="{00000000-0005-0000-0000-0000C6200000}"/>
    <cellStyle name="Note 2 2 3 2 2 2 2" xfId="16789" xr:uid="{F19267BC-398A-4708-BFE1-590E75961934}"/>
    <cellStyle name="Note 2 2 3 2 2 3" xfId="12572" xr:uid="{612FFE23-17B4-44EB-B403-FF133C55FA15}"/>
    <cellStyle name="Note 2 2 3 2 3" xfId="5318" xr:uid="{00000000-0005-0000-0000-0000C7200000}"/>
    <cellStyle name="Note 2 2 3 2 3 2" xfId="14644" xr:uid="{B431AF84-B3DC-452A-A774-077B83EE1EF4}"/>
    <cellStyle name="Note 2 2 3 2 4" xfId="9473" xr:uid="{7711F4E0-385B-44CD-ACEA-5E9D7E4CD8DC}"/>
    <cellStyle name="Note 2 2 3 2 5" xfId="10427" xr:uid="{C4442ACD-37CC-4AFC-9E9E-8867B343325E}"/>
    <cellStyle name="Note 2 2 3 3" xfId="1424" xr:uid="{00000000-0005-0000-0000-0000C8200000}"/>
    <cellStyle name="Note 2 2 3 3 2" xfId="3654" xr:uid="{00000000-0005-0000-0000-0000C9200000}"/>
    <cellStyle name="Note 2 2 3 3 2 2" xfId="7876" xr:uid="{00000000-0005-0000-0000-0000CA200000}"/>
    <cellStyle name="Note 2 2 3 3 2 2 2" xfId="17202" xr:uid="{C79C67EC-2EEB-4996-8F47-0A4383B99F60}"/>
    <cellStyle name="Note 2 2 3 3 2 3" xfId="12985" xr:uid="{B17F78A2-7DC7-49A1-B6AE-C3A1FB128371}"/>
    <cellStyle name="Note 2 2 3 3 3" xfId="5731" xr:uid="{00000000-0005-0000-0000-0000CB200000}"/>
    <cellStyle name="Note 2 2 3 3 3 2" xfId="15057" xr:uid="{D06900C5-8E36-4843-AE13-FC19D6FB9BED}"/>
    <cellStyle name="Note 2 2 3 3 4" xfId="10840" xr:uid="{ECFCABB6-5276-4EA9-A81B-68E6DF3C29E9}"/>
    <cellStyle name="Note 2 2 3 4" xfId="1838" xr:uid="{00000000-0005-0000-0000-0000CC200000}"/>
    <cellStyle name="Note 2 2 3 4 2" xfId="4067" xr:uid="{00000000-0005-0000-0000-0000CD200000}"/>
    <cellStyle name="Note 2 2 3 4 2 2" xfId="8289" xr:uid="{00000000-0005-0000-0000-0000CE200000}"/>
    <cellStyle name="Note 2 2 3 4 2 2 2" xfId="17615" xr:uid="{D61D3506-2ED4-4ADD-A5F2-67527860E7B7}"/>
    <cellStyle name="Note 2 2 3 4 2 3" xfId="13398" xr:uid="{05C28B68-2694-430E-B892-43716FBE105F}"/>
    <cellStyle name="Note 2 2 3 4 3" xfId="6144" xr:uid="{00000000-0005-0000-0000-0000CF200000}"/>
    <cellStyle name="Note 2 2 3 4 3 2" xfId="15470" xr:uid="{64BBE892-9136-4394-AFC2-F6E86B1D42EB}"/>
    <cellStyle name="Note 2 2 3 4 4" xfId="11253" xr:uid="{A842855C-5F57-44CA-B501-34F351D2621C}"/>
    <cellStyle name="Note 2 2 3 5" xfId="2251" xr:uid="{00000000-0005-0000-0000-0000D0200000}"/>
    <cellStyle name="Note 2 2 3 5 2" xfId="4480" xr:uid="{00000000-0005-0000-0000-0000D1200000}"/>
    <cellStyle name="Note 2 2 3 5 2 2" xfId="8702" xr:uid="{00000000-0005-0000-0000-0000D2200000}"/>
    <cellStyle name="Note 2 2 3 5 2 2 2" xfId="18028" xr:uid="{C7328688-8AA5-4125-A80E-25DDBF590AE6}"/>
    <cellStyle name="Note 2 2 3 5 2 3" xfId="13811" xr:uid="{69BEA6B1-AE7F-44D8-AC36-27314B840DE2}"/>
    <cellStyle name="Note 2 2 3 5 3" xfId="6557" xr:uid="{00000000-0005-0000-0000-0000D3200000}"/>
    <cellStyle name="Note 2 2 3 5 3 2" xfId="15883" xr:uid="{DEE7F1F0-A316-4959-AE20-3777F0A30A5F}"/>
    <cellStyle name="Note 2 2 3 5 4" xfId="11666" xr:uid="{A5A77F00-2C73-4E6A-9A34-C5C6010554F3}"/>
    <cellStyle name="Note 2 2 3 6" xfId="2687" xr:uid="{00000000-0005-0000-0000-0000D4200000}"/>
    <cellStyle name="Note 2 2 3 6 2" xfId="6970" xr:uid="{00000000-0005-0000-0000-0000D5200000}"/>
    <cellStyle name="Note 2 2 3 6 2 2" xfId="16296" xr:uid="{CB33AA61-BA11-42BC-866B-D0D9D9B0FB19}"/>
    <cellStyle name="Note 2 2 3 6 3" xfId="12079" xr:uid="{AB4EC7E4-E5E5-45D7-BC59-7AB3E8133580}"/>
    <cellStyle name="Note 2 2 3 7" xfId="2746" xr:uid="{00000000-0005-0000-0000-0000D6200000}"/>
    <cellStyle name="Note 2 2 3 8" xfId="2827" xr:uid="{00000000-0005-0000-0000-0000D7200000}"/>
    <cellStyle name="Note 2 2 3 8 2" xfId="7050" xr:uid="{00000000-0005-0000-0000-0000D8200000}"/>
    <cellStyle name="Note 2 2 3 8 2 2" xfId="16376" xr:uid="{21C6B46F-AD6F-4533-9118-A00C55C3C287}"/>
    <cellStyle name="Note 2 2 3 8 3" xfId="12159" xr:uid="{B162C9C2-964B-4DF8-9528-DF94A004CEC0}"/>
    <cellStyle name="Note 2 2 3 9" xfId="4905" xr:uid="{00000000-0005-0000-0000-0000D9200000}"/>
    <cellStyle name="Note 2 2 3 9 2" xfId="14231" xr:uid="{F67A735F-83AA-4630-AF5B-9D4DF91D1E02}"/>
    <cellStyle name="Note 2 2 4" xfId="1006" xr:uid="{00000000-0005-0000-0000-0000DA200000}"/>
    <cellStyle name="Note 2 2 4 2" xfId="3238" xr:uid="{00000000-0005-0000-0000-0000DB200000}"/>
    <cellStyle name="Note 2 2 4 2 2" xfId="7460" xr:uid="{00000000-0005-0000-0000-0000DC200000}"/>
    <cellStyle name="Note 2 2 4 2 2 2" xfId="16786" xr:uid="{826DF190-1C5A-469E-BDB2-96A05CB978B9}"/>
    <cellStyle name="Note 2 2 4 2 3" xfId="12569" xr:uid="{679511F4-CAB9-4EBF-8F77-DE3D81B808DC}"/>
    <cellStyle name="Note 2 2 4 3" xfId="5315" xr:uid="{00000000-0005-0000-0000-0000DD200000}"/>
    <cellStyle name="Note 2 2 4 3 2" xfId="14641" xr:uid="{9974A63F-D19F-4657-958A-7EA0E249F323}"/>
    <cellStyle name="Note 2 2 4 4" xfId="9266" xr:uid="{8B6F7B8D-50FA-47DA-836F-17B0F9492E54}"/>
    <cellStyle name="Note 2 2 4 5" xfId="10424" xr:uid="{4FF3C653-0006-40A2-9BA1-A8ECBF7B6EE1}"/>
    <cellStyle name="Note 2 2 5" xfId="1421" xr:uid="{00000000-0005-0000-0000-0000DE200000}"/>
    <cellStyle name="Note 2 2 5 2" xfId="3651" xr:uid="{00000000-0005-0000-0000-0000DF200000}"/>
    <cellStyle name="Note 2 2 5 2 2" xfId="7873" xr:uid="{00000000-0005-0000-0000-0000E0200000}"/>
    <cellStyle name="Note 2 2 5 2 2 2" xfId="17199" xr:uid="{FC07D25E-6009-4C79-8F13-9E38819B8605}"/>
    <cellStyle name="Note 2 2 5 2 3" xfId="12982" xr:uid="{D8515592-E717-4101-A7A0-0744A49A584C}"/>
    <cellStyle name="Note 2 2 5 3" xfId="5728" xr:uid="{00000000-0005-0000-0000-0000E1200000}"/>
    <cellStyle name="Note 2 2 5 3 2" xfId="15054" xr:uid="{4E8A648F-E566-4D93-AD59-7D23AEBC1E1F}"/>
    <cellStyle name="Note 2 2 5 4" xfId="10837" xr:uid="{973D9F08-9791-40DD-9EFF-B962852B5961}"/>
    <cellStyle name="Note 2 2 6" xfId="1835" xr:uid="{00000000-0005-0000-0000-0000E2200000}"/>
    <cellStyle name="Note 2 2 6 2" xfId="4064" xr:uid="{00000000-0005-0000-0000-0000E3200000}"/>
    <cellStyle name="Note 2 2 6 2 2" xfId="8286" xr:uid="{00000000-0005-0000-0000-0000E4200000}"/>
    <cellStyle name="Note 2 2 6 2 2 2" xfId="17612" xr:uid="{628E138A-059B-4287-8F9A-16AFE7968549}"/>
    <cellStyle name="Note 2 2 6 2 3" xfId="13395" xr:uid="{366D6846-B574-4710-A9B9-87193AB6DD23}"/>
    <cellStyle name="Note 2 2 6 3" xfId="6141" xr:uid="{00000000-0005-0000-0000-0000E5200000}"/>
    <cellStyle name="Note 2 2 6 3 2" xfId="15467" xr:uid="{05B120DD-41C7-40B3-AEC8-B4333AADE55D}"/>
    <cellStyle name="Note 2 2 6 4" xfId="11250" xr:uid="{D3AD9830-45FB-4535-A307-E17DA6F7A169}"/>
    <cellStyle name="Note 2 2 7" xfId="2248" xr:uid="{00000000-0005-0000-0000-0000E6200000}"/>
    <cellStyle name="Note 2 2 7 2" xfId="4477" xr:uid="{00000000-0005-0000-0000-0000E7200000}"/>
    <cellStyle name="Note 2 2 7 2 2" xfId="8699" xr:uid="{00000000-0005-0000-0000-0000E8200000}"/>
    <cellStyle name="Note 2 2 7 2 2 2" xfId="18025" xr:uid="{E3EC65E4-B9EB-4611-BCFB-C18F158486A1}"/>
    <cellStyle name="Note 2 2 7 2 3" xfId="13808" xr:uid="{2E5034C2-09BF-4334-AC38-EE2BACDAEF06}"/>
    <cellStyle name="Note 2 2 7 3" xfId="6554" xr:uid="{00000000-0005-0000-0000-0000E9200000}"/>
    <cellStyle name="Note 2 2 7 3 2" xfId="15880" xr:uid="{35453176-CE86-477E-BB10-1785C047C64B}"/>
    <cellStyle name="Note 2 2 7 4" xfId="11663" xr:uid="{852EA0F9-AF4A-4F52-ADD5-08267176C1A5}"/>
    <cellStyle name="Note 2 2 8" xfId="2684" xr:uid="{00000000-0005-0000-0000-0000EA200000}"/>
    <cellStyle name="Note 2 2 8 2" xfId="6967" xr:uid="{00000000-0005-0000-0000-0000EB200000}"/>
    <cellStyle name="Note 2 2 8 2 2" xfId="16293" xr:uid="{87A4D4C5-0D8F-4497-92A0-FE68786046E2}"/>
    <cellStyle name="Note 2 2 8 3" xfId="12076" xr:uid="{0783708E-0761-45B7-9A7F-79EEF19EC219}"/>
    <cellStyle name="Note 2 2 9" xfId="2743" xr:uid="{00000000-0005-0000-0000-0000EC200000}"/>
    <cellStyle name="Note 2 3" xfId="549" xr:uid="{00000000-0005-0000-0000-0000ED200000}"/>
    <cellStyle name="Note 2 3 10" xfId="4906" xr:uid="{00000000-0005-0000-0000-0000EE200000}"/>
    <cellStyle name="Note 2 3 10 2" xfId="14232" xr:uid="{B9569D82-0A30-4CC9-AC17-6B5E9DD6621E}"/>
    <cellStyle name="Note 2 3 11" xfId="8894" xr:uid="{2BFFE8D0-DA42-4876-8895-58F80713E965}"/>
    <cellStyle name="Note 2 3 12" xfId="10015" xr:uid="{D9C0F979-12BC-4C49-BAB6-357C7F1A3AF3}"/>
    <cellStyle name="Note 2 3 2" xfId="550" xr:uid="{00000000-0005-0000-0000-0000EF200000}"/>
    <cellStyle name="Note 2 3 2 10" xfId="9101" xr:uid="{1822EEA2-225E-465E-B4CD-D4615440EC62}"/>
    <cellStyle name="Note 2 3 2 11" xfId="10016" xr:uid="{20599771-B94E-4375-B3DC-1D0A2382F16B}"/>
    <cellStyle name="Note 2 3 2 2" xfId="1011" xr:uid="{00000000-0005-0000-0000-0000F0200000}"/>
    <cellStyle name="Note 2 3 2 2 2" xfId="3243" xr:uid="{00000000-0005-0000-0000-0000F1200000}"/>
    <cellStyle name="Note 2 3 2 2 2 2" xfId="7465" xr:uid="{00000000-0005-0000-0000-0000F2200000}"/>
    <cellStyle name="Note 2 3 2 2 2 2 2" xfId="16791" xr:uid="{79D3339D-882B-4C5A-B91F-B1D372381C06}"/>
    <cellStyle name="Note 2 3 2 2 2 3" xfId="12574" xr:uid="{E149C2DF-D515-4541-82A8-BB0886EF0B7E}"/>
    <cellStyle name="Note 2 3 2 2 3" xfId="5320" xr:uid="{00000000-0005-0000-0000-0000F3200000}"/>
    <cellStyle name="Note 2 3 2 2 3 2" xfId="14646" xr:uid="{4B145786-32A5-4DE9-95AD-620D41893562}"/>
    <cellStyle name="Note 2 3 2 2 4" xfId="9526" xr:uid="{1C428179-0C82-4F5D-9FE4-E11D597F9E89}"/>
    <cellStyle name="Note 2 3 2 2 5" xfId="10429" xr:uid="{3D8F0D66-33B7-489C-8641-41BB88F55BF2}"/>
    <cellStyle name="Note 2 3 2 3" xfId="1426" xr:uid="{00000000-0005-0000-0000-0000F4200000}"/>
    <cellStyle name="Note 2 3 2 3 2" xfId="3656" xr:uid="{00000000-0005-0000-0000-0000F5200000}"/>
    <cellStyle name="Note 2 3 2 3 2 2" xfId="7878" xr:uid="{00000000-0005-0000-0000-0000F6200000}"/>
    <cellStyle name="Note 2 3 2 3 2 2 2" xfId="17204" xr:uid="{4CC77A6B-8DE5-48D5-8603-F1BF6527D264}"/>
    <cellStyle name="Note 2 3 2 3 2 3" xfId="12987" xr:uid="{D7DC446C-C19F-4FB8-BF19-15C10CB7028E}"/>
    <cellStyle name="Note 2 3 2 3 3" xfId="5733" xr:uid="{00000000-0005-0000-0000-0000F7200000}"/>
    <cellStyle name="Note 2 3 2 3 3 2" xfId="15059" xr:uid="{B9C83ACB-5E6E-4D67-AE17-2BE45E5DFF48}"/>
    <cellStyle name="Note 2 3 2 3 4" xfId="10842" xr:uid="{D015A24E-EE90-4655-A7A6-53531F38D4CB}"/>
    <cellStyle name="Note 2 3 2 4" xfId="1840" xr:uid="{00000000-0005-0000-0000-0000F8200000}"/>
    <cellStyle name="Note 2 3 2 4 2" xfId="4069" xr:uid="{00000000-0005-0000-0000-0000F9200000}"/>
    <cellStyle name="Note 2 3 2 4 2 2" xfId="8291" xr:uid="{00000000-0005-0000-0000-0000FA200000}"/>
    <cellStyle name="Note 2 3 2 4 2 2 2" xfId="17617" xr:uid="{9A504331-FAA8-4090-A924-8E0DB0ED0ED5}"/>
    <cellStyle name="Note 2 3 2 4 2 3" xfId="13400" xr:uid="{C1C61019-C8B3-49DC-8F45-1C2474ADFFB9}"/>
    <cellStyle name="Note 2 3 2 4 3" xfId="6146" xr:uid="{00000000-0005-0000-0000-0000FB200000}"/>
    <cellStyle name="Note 2 3 2 4 3 2" xfId="15472" xr:uid="{CAA4784A-6165-4B76-98CB-E33E7076C421}"/>
    <cellStyle name="Note 2 3 2 4 4" xfId="11255" xr:uid="{C68C751C-494C-46B0-BE09-E292F77EDC8A}"/>
    <cellStyle name="Note 2 3 2 5" xfId="2253" xr:uid="{00000000-0005-0000-0000-0000FC200000}"/>
    <cellStyle name="Note 2 3 2 5 2" xfId="4482" xr:uid="{00000000-0005-0000-0000-0000FD200000}"/>
    <cellStyle name="Note 2 3 2 5 2 2" xfId="8704" xr:uid="{00000000-0005-0000-0000-0000FE200000}"/>
    <cellStyle name="Note 2 3 2 5 2 2 2" xfId="18030" xr:uid="{F62CE047-8CA3-4E33-AA76-5F3C7C7A7A88}"/>
    <cellStyle name="Note 2 3 2 5 2 3" xfId="13813" xr:uid="{2914F677-31D8-47BF-9D7E-3A7A828DA274}"/>
    <cellStyle name="Note 2 3 2 5 3" xfId="6559" xr:uid="{00000000-0005-0000-0000-0000FF200000}"/>
    <cellStyle name="Note 2 3 2 5 3 2" xfId="15885" xr:uid="{45707B35-6158-4813-868D-517845208271}"/>
    <cellStyle name="Note 2 3 2 5 4" xfId="11668" xr:uid="{83F1428B-A46C-44E6-B9A7-C638724BC72F}"/>
    <cellStyle name="Note 2 3 2 6" xfId="2689" xr:uid="{00000000-0005-0000-0000-000000210000}"/>
    <cellStyle name="Note 2 3 2 6 2" xfId="6972" xr:uid="{00000000-0005-0000-0000-000001210000}"/>
    <cellStyle name="Note 2 3 2 6 2 2" xfId="16298" xr:uid="{17C50C5C-B7A9-4AB5-B596-B6B3888C69DB}"/>
    <cellStyle name="Note 2 3 2 6 3" xfId="12081" xr:uid="{A29C4B87-CE5D-4575-ACCF-38621A099EA7}"/>
    <cellStyle name="Note 2 3 2 7" xfId="2748" xr:uid="{00000000-0005-0000-0000-000002210000}"/>
    <cellStyle name="Note 2 3 2 8" xfId="2829" xr:uid="{00000000-0005-0000-0000-000003210000}"/>
    <cellStyle name="Note 2 3 2 8 2" xfId="7052" xr:uid="{00000000-0005-0000-0000-000004210000}"/>
    <cellStyle name="Note 2 3 2 8 2 2" xfId="16378" xr:uid="{8CC03524-28F7-4CE0-8474-EF09393B2AF8}"/>
    <cellStyle name="Note 2 3 2 8 3" xfId="12161" xr:uid="{5E9F2F09-6EAB-427D-BD94-505617BB45D7}"/>
    <cellStyle name="Note 2 3 2 9" xfId="4907" xr:uid="{00000000-0005-0000-0000-000005210000}"/>
    <cellStyle name="Note 2 3 2 9 2" xfId="14233" xr:uid="{6E95A996-3083-4E30-B7AB-6ED0F6AAA1BB}"/>
    <cellStyle name="Note 2 3 3" xfId="1010" xr:uid="{00000000-0005-0000-0000-000006210000}"/>
    <cellStyle name="Note 2 3 3 2" xfId="3242" xr:uid="{00000000-0005-0000-0000-000007210000}"/>
    <cellStyle name="Note 2 3 3 2 2" xfId="7464" xr:uid="{00000000-0005-0000-0000-000008210000}"/>
    <cellStyle name="Note 2 3 3 2 2 2" xfId="16790" xr:uid="{B1E4FBBE-BE9C-4F62-BE83-AC119D1042EC}"/>
    <cellStyle name="Note 2 3 3 2 3" xfId="12573" xr:uid="{70DB8184-1FDF-4E00-B034-7D4A7152C1C4}"/>
    <cellStyle name="Note 2 3 3 3" xfId="5319" xr:uid="{00000000-0005-0000-0000-000009210000}"/>
    <cellStyle name="Note 2 3 3 3 2" xfId="14645" xr:uid="{B412DDB1-7AA2-4420-AA0B-130222B785E8}"/>
    <cellStyle name="Note 2 3 3 4" xfId="9319" xr:uid="{06E4A3C6-5CAA-4424-B4C3-41162F21AE7D}"/>
    <cellStyle name="Note 2 3 3 5" xfId="10428" xr:uid="{29B6AC39-2BB2-4D12-B1DE-60D8C816F9B3}"/>
    <cellStyle name="Note 2 3 4" xfId="1425" xr:uid="{00000000-0005-0000-0000-00000A210000}"/>
    <cellStyle name="Note 2 3 4 2" xfId="3655" xr:uid="{00000000-0005-0000-0000-00000B210000}"/>
    <cellStyle name="Note 2 3 4 2 2" xfId="7877" xr:uid="{00000000-0005-0000-0000-00000C210000}"/>
    <cellStyle name="Note 2 3 4 2 2 2" xfId="17203" xr:uid="{C897BB1F-6FD6-46E6-B66C-DD196D8A38B1}"/>
    <cellStyle name="Note 2 3 4 2 3" xfId="12986" xr:uid="{5050BE06-E0C4-47E4-9803-171622CB96FF}"/>
    <cellStyle name="Note 2 3 4 3" xfId="5732" xr:uid="{00000000-0005-0000-0000-00000D210000}"/>
    <cellStyle name="Note 2 3 4 3 2" xfId="15058" xr:uid="{8CE2C3F0-6B78-44D1-B7F5-DE4558F0A652}"/>
    <cellStyle name="Note 2 3 4 4" xfId="10841" xr:uid="{86315395-742A-4891-8E61-B9493E693810}"/>
    <cellStyle name="Note 2 3 5" xfId="1839" xr:uid="{00000000-0005-0000-0000-00000E210000}"/>
    <cellStyle name="Note 2 3 5 2" xfId="4068" xr:uid="{00000000-0005-0000-0000-00000F210000}"/>
    <cellStyle name="Note 2 3 5 2 2" xfId="8290" xr:uid="{00000000-0005-0000-0000-000010210000}"/>
    <cellStyle name="Note 2 3 5 2 2 2" xfId="17616" xr:uid="{0B4ECF8F-1222-483C-8812-75350607149D}"/>
    <cellStyle name="Note 2 3 5 2 3" xfId="13399" xr:uid="{D102AE19-FD04-41EB-9902-D709153D59FE}"/>
    <cellStyle name="Note 2 3 5 3" xfId="6145" xr:uid="{00000000-0005-0000-0000-000011210000}"/>
    <cellStyle name="Note 2 3 5 3 2" xfId="15471" xr:uid="{0A58631F-CA54-46C4-A6A4-4242BDCDA99B}"/>
    <cellStyle name="Note 2 3 5 4" xfId="11254" xr:uid="{EC200B9F-8E04-4A7E-9E86-A8DEDB8DDDC2}"/>
    <cellStyle name="Note 2 3 6" xfId="2252" xr:uid="{00000000-0005-0000-0000-000012210000}"/>
    <cellStyle name="Note 2 3 6 2" xfId="4481" xr:uid="{00000000-0005-0000-0000-000013210000}"/>
    <cellStyle name="Note 2 3 6 2 2" xfId="8703" xr:uid="{00000000-0005-0000-0000-000014210000}"/>
    <cellStyle name="Note 2 3 6 2 2 2" xfId="18029" xr:uid="{20889A05-379C-4738-8A3D-0FF479419B7F}"/>
    <cellStyle name="Note 2 3 6 2 3" xfId="13812" xr:uid="{F3058D96-DFCD-4491-90C8-E04FB7B5B318}"/>
    <cellStyle name="Note 2 3 6 3" xfId="6558" xr:uid="{00000000-0005-0000-0000-000015210000}"/>
    <cellStyle name="Note 2 3 6 3 2" xfId="15884" xr:uid="{E005BA2A-8943-4A32-B5A0-C91E81AEAA42}"/>
    <cellStyle name="Note 2 3 6 4" xfId="11667" xr:uid="{C2FCEA27-B9AB-41CA-AB07-D9BB64B9AA73}"/>
    <cellStyle name="Note 2 3 7" xfId="2688" xr:uid="{00000000-0005-0000-0000-000016210000}"/>
    <cellStyle name="Note 2 3 7 2" xfId="6971" xr:uid="{00000000-0005-0000-0000-000017210000}"/>
    <cellStyle name="Note 2 3 7 2 2" xfId="16297" xr:uid="{6D24AA19-2B8F-46AB-A597-973A3F2AB8EE}"/>
    <cellStyle name="Note 2 3 7 3" xfId="12080" xr:uid="{97C6858B-5C3E-4423-A1BE-99F549AB3BB5}"/>
    <cellStyle name="Note 2 3 8" xfId="2747" xr:uid="{00000000-0005-0000-0000-000018210000}"/>
    <cellStyle name="Note 2 3 9" xfId="2828" xr:uid="{00000000-0005-0000-0000-000019210000}"/>
    <cellStyle name="Note 2 3 9 2" xfId="7051" xr:uid="{00000000-0005-0000-0000-00001A210000}"/>
    <cellStyle name="Note 2 3 9 2 2" xfId="16377" xr:uid="{6619020C-D78C-4A64-B1AC-604596E73869}"/>
    <cellStyle name="Note 2 3 9 3" xfId="12160" xr:uid="{328DE203-9317-4EA3-ACC3-3E341BCF8819}"/>
    <cellStyle name="Note 2 4" xfId="551" xr:uid="{00000000-0005-0000-0000-00001B210000}"/>
    <cellStyle name="Note 2 4 10" xfId="8998" xr:uid="{AC87C288-14A9-4FB3-A26C-1706964E6651}"/>
    <cellStyle name="Note 2 4 11" xfId="10017" xr:uid="{0D9D1F32-C1B6-4C65-B99E-789983CC075E}"/>
    <cellStyle name="Note 2 4 2" xfId="1012" xr:uid="{00000000-0005-0000-0000-00001C210000}"/>
    <cellStyle name="Note 2 4 2 2" xfId="3244" xr:uid="{00000000-0005-0000-0000-00001D210000}"/>
    <cellStyle name="Note 2 4 2 2 2" xfId="7466" xr:uid="{00000000-0005-0000-0000-00001E210000}"/>
    <cellStyle name="Note 2 4 2 2 2 2" xfId="16792" xr:uid="{E4E9C0B0-AFC5-4EA0-AD3F-2F731D9414D7}"/>
    <cellStyle name="Note 2 4 2 2 3" xfId="12575" xr:uid="{8AD376E2-A617-4B30-9544-C5928D0FE9D0}"/>
    <cellStyle name="Note 2 4 2 3" xfId="5321" xr:uid="{00000000-0005-0000-0000-00001F210000}"/>
    <cellStyle name="Note 2 4 2 3 2" xfId="14647" xr:uid="{993DF84C-F400-4DE0-9FD1-2205BD0072A3}"/>
    <cellStyle name="Note 2 4 2 4" xfId="9423" xr:uid="{43B93802-BE55-43D9-BEBC-4095E3C1FF74}"/>
    <cellStyle name="Note 2 4 2 5" xfId="10430" xr:uid="{31F1C93B-9E0B-45A8-B978-03D2F64B5618}"/>
    <cellStyle name="Note 2 4 3" xfId="1427" xr:uid="{00000000-0005-0000-0000-000020210000}"/>
    <cellStyle name="Note 2 4 3 2" xfId="3657" xr:uid="{00000000-0005-0000-0000-000021210000}"/>
    <cellStyle name="Note 2 4 3 2 2" xfId="7879" xr:uid="{00000000-0005-0000-0000-000022210000}"/>
    <cellStyle name="Note 2 4 3 2 2 2" xfId="17205" xr:uid="{C6ADE9FD-51E5-46FE-8740-5270FA6B8527}"/>
    <cellStyle name="Note 2 4 3 2 3" xfId="12988" xr:uid="{B8AAFFE0-AB8D-47CB-9D10-CB8C69808EE7}"/>
    <cellStyle name="Note 2 4 3 3" xfId="5734" xr:uid="{00000000-0005-0000-0000-000023210000}"/>
    <cellStyle name="Note 2 4 3 3 2" xfId="15060" xr:uid="{580D0832-C57B-468F-8417-66EDD529B10F}"/>
    <cellStyle name="Note 2 4 3 4" xfId="10843" xr:uid="{A613B4E7-42AF-4AEA-B604-6E9336D2C70F}"/>
    <cellStyle name="Note 2 4 4" xfId="1841" xr:uid="{00000000-0005-0000-0000-000024210000}"/>
    <cellStyle name="Note 2 4 4 2" xfId="4070" xr:uid="{00000000-0005-0000-0000-000025210000}"/>
    <cellStyle name="Note 2 4 4 2 2" xfId="8292" xr:uid="{00000000-0005-0000-0000-000026210000}"/>
    <cellStyle name="Note 2 4 4 2 2 2" xfId="17618" xr:uid="{1E5BE507-324C-4411-8C68-D191E80584CE}"/>
    <cellStyle name="Note 2 4 4 2 3" xfId="13401" xr:uid="{599B6972-7183-4816-A754-BAD4077BC557}"/>
    <cellStyle name="Note 2 4 4 3" xfId="6147" xr:uid="{00000000-0005-0000-0000-000027210000}"/>
    <cellStyle name="Note 2 4 4 3 2" xfId="15473" xr:uid="{46F44819-5DC7-43CE-9591-DAF6956E9A1B}"/>
    <cellStyle name="Note 2 4 4 4" xfId="11256" xr:uid="{E617F66A-0252-4D04-9487-6F80F45C4B73}"/>
    <cellStyle name="Note 2 4 5" xfId="2254" xr:uid="{00000000-0005-0000-0000-000028210000}"/>
    <cellStyle name="Note 2 4 5 2" xfId="4483" xr:uid="{00000000-0005-0000-0000-000029210000}"/>
    <cellStyle name="Note 2 4 5 2 2" xfId="8705" xr:uid="{00000000-0005-0000-0000-00002A210000}"/>
    <cellStyle name="Note 2 4 5 2 2 2" xfId="18031" xr:uid="{B70FF4CD-0CEE-4502-9DC2-850ED3CE2623}"/>
    <cellStyle name="Note 2 4 5 2 3" xfId="13814" xr:uid="{C445DA00-40A3-4DB6-8581-34AFDB01C58E}"/>
    <cellStyle name="Note 2 4 5 3" xfId="6560" xr:uid="{00000000-0005-0000-0000-00002B210000}"/>
    <cellStyle name="Note 2 4 5 3 2" xfId="15886" xr:uid="{B52B8C29-5A51-4CB5-B0F9-858100D289D7}"/>
    <cellStyle name="Note 2 4 5 4" xfId="11669" xr:uid="{BE8A209B-ACE6-4460-9F94-EE7AF06D21C5}"/>
    <cellStyle name="Note 2 4 6" xfId="2690" xr:uid="{00000000-0005-0000-0000-00002C210000}"/>
    <cellStyle name="Note 2 4 6 2" xfId="6973" xr:uid="{00000000-0005-0000-0000-00002D210000}"/>
    <cellStyle name="Note 2 4 6 2 2" xfId="16299" xr:uid="{143FF083-B0BF-48A5-9CEB-59E2036A4FD4}"/>
    <cellStyle name="Note 2 4 6 3" xfId="12082" xr:uid="{AD74F5BC-1F0E-4F3E-93CA-8BCBEA9B5B36}"/>
    <cellStyle name="Note 2 4 7" xfId="2749" xr:uid="{00000000-0005-0000-0000-00002E210000}"/>
    <cellStyle name="Note 2 4 8" xfId="2830" xr:uid="{00000000-0005-0000-0000-00002F210000}"/>
    <cellStyle name="Note 2 4 8 2" xfId="7053" xr:uid="{00000000-0005-0000-0000-000030210000}"/>
    <cellStyle name="Note 2 4 8 2 2" xfId="16379" xr:uid="{DCC21F53-7015-44CF-AE1B-5CB760C03B99}"/>
    <cellStyle name="Note 2 4 8 3" xfId="12162" xr:uid="{9C7EF0D3-A46A-4808-87AD-F118C2BBEE8A}"/>
    <cellStyle name="Note 2 4 9" xfId="4908" xr:uid="{00000000-0005-0000-0000-000031210000}"/>
    <cellStyle name="Note 2 4 9 2" xfId="14234" xr:uid="{CC4CE507-2008-4510-A1EC-A99E2006DFC8}"/>
    <cellStyle name="Note 2 5" xfId="552" xr:uid="{00000000-0005-0000-0000-000032210000}"/>
    <cellStyle name="Note 2 5 10" xfId="9215" xr:uid="{69947D86-0683-476F-9E74-96CA08091560}"/>
    <cellStyle name="Note 2 5 11" xfId="10018" xr:uid="{8B1C3FDA-90A1-4493-83F9-95FB4837CB76}"/>
    <cellStyle name="Note 2 5 2" xfId="1013" xr:uid="{00000000-0005-0000-0000-000033210000}"/>
    <cellStyle name="Note 2 5 2 2" xfId="3245" xr:uid="{00000000-0005-0000-0000-000034210000}"/>
    <cellStyle name="Note 2 5 2 2 2" xfId="7467" xr:uid="{00000000-0005-0000-0000-000035210000}"/>
    <cellStyle name="Note 2 5 2 2 2 2" xfId="16793" xr:uid="{9F7A6543-866C-4179-98DD-AA95D3E7DF3D}"/>
    <cellStyle name="Note 2 5 2 2 3" xfId="12576" xr:uid="{8B3339A1-9636-4AA3-8125-40B0B852049B}"/>
    <cellStyle name="Note 2 5 2 3" xfId="5322" xr:uid="{00000000-0005-0000-0000-000036210000}"/>
    <cellStyle name="Note 2 5 2 3 2" xfId="14648" xr:uid="{8428F182-147B-42A2-9983-6A5FE31A46B6}"/>
    <cellStyle name="Note 2 5 2 4" xfId="9610" xr:uid="{26530D10-1DF8-4FA4-8FC9-4C945AA92A94}"/>
    <cellStyle name="Note 2 5 2 5" xfId="10431" xr:uid="{88BA8AFD-76E3-4AC2-BEC9-2DA475938BE2}"/>
    <cellStyle name="Note 2 5 3" xfId="1428" xr:uid="{00000000-0005-0000-0000-000037210000}"/>
    <cellStyle name="Note 2 5 3 2" xfId="3658" xr:uid="{00000000-0005-0000-0000-000038210000}"/>
    <cellStyle name="Note 2 5 3 2 2" xfId="7880" xr:uid="{00000000-0005-0000-0000-000039210000}"/>
    <cellStyle name="Note 2 5 3 2 2 2" xfId="17206" xr:uid="{B0B5EA19-2ED3-41DE-A0CE-31B265BBCF89}"/>
    <cellStyle name="Note 2 5 3 2 3" xfId="12989" xr:uid="{31635FCC-B82E-4DD1-B08B-A70439252B31}"/>
    <cellStyle name="Note 2 5 3 3" xfId="5735" xr:uid="{00000000-0005-0000-0000-00003A210000}"/>
    <cellStyle name="Note 2 5 3 3 2" xfId="15061" xr:uid="{606A2AAD-1AE1-41C6-B2A2-AF28C7BF086E}"/>
    <cellStyle name="Note 2 5 3 4" xfId="10844" xr:uid="{E55D308E-0437-4560-8E58-67A5E3AE144C}"/>
    <cellStyle name="Note 2 5 4" xfId="1842" xr:uid="{00000000-0005-0000-0000-00003B210000}"/>
    <cellStyle name="Note 2 5 4 2" xfId="4071" xr:uid="{00000000-0005-0000-0000-00003C210000}"/>
    <cellStyle name="Note 2 5 4 2 2" xfId="8293" xr:uid="{00000000-0005-0000-0000-00003D210000}"/>
    <cellStyle name="Note 2 5 4 2 2 2" xfId="17619" xr:uid="{F7A8DA04-5625-43AB-AC7A-29B779419647}"/>
    <cellStyle name="Note 2 5 4 2 3" xfId="13402" xr:uid="{4E4EF16E-260D-4CF4-AB7C-143A063BB159}"/>
    <cellStyle name="Note 2 5 4 3" xfId="6148" xr:uid="{00000000-0005-0000-0000-00003E210000}"/>
    <cellStyle name="Note 2 5 4 3 2" xfId="15474" xr:uid="{256BCE62-8641-4448-91A5-4139CCD0A533}"/>
    <cellStyle name="Note 2 5 4 4" xfId="11257" xr:uid="{ED5C9D63-8F64-4E9B-B54A-EF32971F897B}"/>
    <cellStyle name="Note 2 5 5" xfId="2255" xr:uid="{00000000-0005-0000-0000-00003F210000}"/>
    <cellStyle name="Note 2 5 5 2" xfId="4484" xr:uid="{00000000-0005-0000-0000-000040210000}"/>
    <cellStyle name="Note 2 5 5 2 2" xfId="8706" xr:uid="{00000000-0005-0000-0000-000041210000}"/>
    <cellStyle name="Note 2 5 5 2 2 2" xfId="18032" xr:uid="{FA48050D-9B4A-4B15-B908-6C2958ADD51B}"/>
    <cellStyle name="Note 2 5 5 2 3" xfId="13815" xr:uid="{A1D03EA2-39EB-4024-A313-DEA552851A25}"/>
    <cellStyle name="Note 2 5 5 3" xfId="6561" xr:uid="{00000000-0005-0000-0000-000042210000}"/>
    <cellStyle name="Note 2 5 5 3 2" xfId="15887" xr:uid="{AEB15D14-F8E5-4598-9B39-7299182E3BCE}"/>
    <cellStyle name="Note 2 5 5 4" xfId="11670" xr:uid="{EB9253B0-A1C9-47B3-A486-0DD2CEA7C0CA}"/>
    <cellStyle name="Note 2 5 6" xfId="2691" xr:uid="{00000000-0005-0000-0000-000043210000}"/>
    <cellStyle name="Note 2 5 6 2" xfId="6974" xr:uid="{00000000-0005-0000-0000-000044210000}"/>
    <cellStyle name="Note 2 5 6 2 2" xfId="16300" xr:uid="{23569099-7CC6-407A-BE62-72006C54F46F}"/>
    <cellStyle name="Note 2 5 6 3" xfId="12083" xr:uid="{E087121B-443E-4E6B-B11E-EFA669D20E1A}"/>
    <cellStyle name="Note 2 5 7" xfId="2750" xr:uid="{00000000-0005-0000-0000-000045210000}"/>
    <cellStyle name="Note 2 5 8" xfId="2831" xr:uid="{00000000-0005-0000-0000-000046210000}"/>
    <cellStyle name="Note 2 5 8 2" xfId="7054" xr:uid="{00000000-0005-0000-0000-000047210000}"/>
    <cellStyle name="Note 2 5 8 2 2" xfId="16380" xr:uid="{EB51E1C8-8198-4A92-8A8C-2CA3A7F8CEE0}"/>
    <cellStyle name="Note 2 5 8 3" xfId="12163" xr:uid="{BD8AB6E1-C998-49EC-B317-08D33A45C679}"/>
    <cellStyle name="Note 2 5 9" xfId="4909" xr:uid="{00000000-0005-0000-0000-000048210000}"/>
    <cellStyle name="Note 2 5 9 2" xfId="14235" xr:uid="{71CCEFD5-9D19-45CA-95D1-E30E7ED67808}"/>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5DFFB887-B3C9-42D8-9F77-FB5C042FEBC8}"/>
    <cellStyle name="Note 3 2 10 3" xfId="12164" xr:uid="{81D0B75C-F176-43D5-8543-9AB50C01324A}"/>
    <cellStyle name="Note 3 2 11" xfId="4910" xr:uid="{00000000-0005-0000-0000-00004D210000}"/>
    <cellStyle name="Note 3 2 11 2" xfId="14236" xr:uid="{17B50ED6-BDF7-41EF-8476-E49CC809CE14}"/>
    <cellStyle name="Note 3 2 12" xfId="8842" xr:uid="{646587AC-B7A9-43E2-AC1E-1B77745805D8}"/>
    <cellStyle name="Note 3 2 13" xfId="10019" xr:uid="{3AF67B19-54BC-4C50-82B3-661B52FBDE2C}"/>
    <cellStyle name="Note 3 2 2" xfId="555" xr:uid="{00000000-0005-0000-0000-00004E210000}"/>
    <cellStyle name="Note 3 2 2 10" xfId="4911" xr:uid="{00000000-0005-0000-0000-00004F210000}"/>
    <cellStyle name="Note 3 2 2 10 2" xfId="14237" xr:uid="{8135588F-63FD-4337-9392-BD1FC347BB1D}"/>
    <cellStyle name="Note 3 2 2 11" xfId="8945" xr:uid="{D320AF38-4F47-4266-9CB9-3BD7E15BFDAE}"/>
    <cellStyle name="Note 3 2 2 12" xfId="10020" xr:uid="{60FB5E42-4006-40E0-97AE-5CB07F8B4576}"/>
    <cellStyle name="Note 3 2 2 2" xfId="556" xr:uid="{00000000-0005-0000-0000-000050210000}"/>
    <cellStyle name="Note 3 2 2 2 10" xfId="9152" xr:uid="{24874F5B-4700-44ED-9556-84C4E89A274D}"/>
    <cellStyle name="Note 3 2 2 2 11" xfId="10021" xr:uid="{274813C1-DA97-4A72-A18E-0CF0376E2FBE}"/>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6426C970-7C67-41BB-8A54-4ED437E8841B}"/>
    <cellStyle name="Note 3 2 2 2 2 2 3" xfId="12579" xr:uid="{B1B6C94B-A2EF-4F55-9387-623E99507B96}"/>
    <cellStyle name="Note 3 2 2 2 2 3" xfId="5325" xr:uid="{00000000-0005-0000-0000-000054210000}"/>
    <cellStyle name="Note 3 2 2 2 2 3 2" xfId="14651" xr:uid="{7A1A3DAC-B8FA-4DDB-A1BE-C6A107F909B5}"/>
    <cellStyle name="Note 3 2 2 2 2 4" xfId="9577" xr:uid="{7C0C89D7-CA14-4942-89B2-D584AC810EDC}"/>
    <cellStyle name="Note 3 2 2 2 2 5" xfId="10434" xr:uid="{66384F94-0396-4AD0-982A-1A8E9AC26DC1}"/>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78CF79CF-2E80-4B33-8F27-26036E19F0BE}"/>
    <cellStyle name="Note 3 2 2 2 3 2 3" xfId="12992" xr:uid="{9D22BA91-91D0-4D54-A1BD-E88164ACC0E0}"/>
    <cellStyle name="Note 3 2 2 2 3 3" xfId="5738" xr:uid="{00000000-0005-0000-0000-000058210000}"/>
    <cellStyle name="Note 3 2 2 2 3 3 2" xfId="15064" xr:uid="{4341971A-D241-4C26-8A7E-D5D0FFB57C80}"/>
    <cellStyle name="Note 3 2 2 2 3 4" xfId="10847" xr:uid="{300C92F9-DAFE-442B-9AF5-CC7D27A0D295}"/>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3A56EDCD-144D-41BA-9F76-476FEBDEC399}"/>
    <cellStyle name="Note 3 2 2 2 4 2 3" xfId="13405" xr:uid="{9318CEAA-6D34-4C1F-83C0-D4A9211FE381}"/>
    <cellStyle name="Note 3 2 2 2 4 3" xfId="6151" xr:uid="{00000000-0005-0000-0000-00005C210000}"/>
    <cellStyle name="Note 3 2 2 2 4 3 2" xfId="15477" xr:uid="{17375019-DDBC-4510-AEE9-8E7302165342}"/>
    <cellStyle name="Note 3 2 2 2 4 4" xfId="11260" xr:uid="{2F171738-39C9-49B6-86D5-EF461CA47343}"/>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B1CF6FFA-24E3-4037-8C17-DCFC22D02E48}"/>
    <cellStyle name="Note 3 2 2 2 5 2 3" xfId="13818" xr:uid="{A560FA06-9DCE-4930-89C9-913392EE6307}"/>
    <cellStyle name="Note 3 2 2 2 5 3" xfId="6564" xr:uid="{00000000-0005-0000-0000-000060210000}"/>
    <cellStyle name="Note 3 2 2 2 5 3 2" xfId="15890" xr:uid="{06239E07-4468-45DF-9BB7-DAFF95EA6244}"/>
    <cellStyle name="Note 3 2 2 2 5 4" xfId="11673" xr:uid="{A13D9DE5-333C-46A1-AA3D-8137375AB770}"/>
    <cellStyle name="Note 3 2 2 2 6" xfId="2694" xr:uid="{00000000-0005-0000-0000-000061210000}"/>
    <cellStyle name="Note 3 2 2 2 6 2" xfId="6977" xr:uid="{00000000-0005-0000-0000-000062210000}"/>
    <cellStyle name="Note 3 2 2 2 6 2 2" xfId="16303" xr:uid="{AE2FEE38-228B-4F99-AD31-308434E2F379}"/>
    <cellStyle name="Note 3 2 2 2 6 3" xfId="12086" xr:uid="{10D6FDCD-4A24-4527-93AB-AE0B660FCD09}"/>
    <cellStyle name="Note 3 2 2 2 7" xfId="2753" xr:uid="{00000000-0005-0000-0000-000063210000}"/>
    <cellStyle name="Note 3 2 2 2 8" xfId="2834" xr:uid="{00000000-0005-0000-0000-000064210000}"/>
    <cellStyle name="Note 3 2 2 2 8 2" xfId="7057" xr:uid="{00000000-0005-0000-0000-000065210000}"/>
    <cellStyle name="Note 3 2 2 2 8 2 2" xfId="16383" xr:uid="{7C21D156-0958-4E46-A55F-35EABDE49388}"/>
    <cellStyle name="Note 3 2 2 2 8 3" xfId="12166" xr:uid="{1A3D69E5-FD49-4B3B-905A-523AD49AB169}"/>
    <cellStyle name="Note 3 2 2 2 9" xfId="4912" xr:uid="{00000000-0005-0000-0000-000066210000}"/>
    <cellStyle name="Note 3 2 2 2 9 2" xfId="14238" xr:uid="{E34AFBA1-3763-4513-9F82-07A6D64D1064}"/>
    <cellStyle name="Note 3 2 2 3" xfId="1015" xr:uid="{00000000-0005-0000-0000-000067210000}"/>
    <cellStyle name="Note 3 2 2 3 2" xfId="3247" xr:uid="{00000000-0005-0000-0000-000068210000}"/>
    <cellStyle name="Note 3 2 2 3 2 2" xfId="7469" xr:uid="{00000000-0005-0000-0000-000069210000}"/>
    <cellStyle name="Note 3 2 2 3 2 2 2" xfId="16795" xr:uid="{5B2A0DFD-DED5-4AAD-A642-532595ECE93A}"/>
    <cellStyle name="Note 3 2 2 3 2 3" xfId="12578" xr:uid="{5D58B217-2083-4C15-A591-B537B3F83F75}"/>
    <cellStyle name="Note 3 2 2 3 3" xfId="5324" xr:uid="{00000000-0005-0000-0000-00006A210000}"/>
    <cellStyle name="Note 3 2 2 3 3 2" xfId="14650" xr:uid="{02958C07-1176-4C85-AB11-D449E969CDE1}"/>
    <cellStyle name="Note 3 2 2 3 4" xfId="9370" xr:uid="{7A803908-679B-4EF0-9BD4-89724B1FB321}"/>
    <cellStyle name="Note 3 2 2 3 5" xfId="10433" xr:uid="{A45372F5-29AA-4F0A-ABDF-80C751CFF13C}"/>
    <cellStyle name="Note 3 2 2 4" xfId="1430" xr:uid="{00000000-0005-0000-0000-00006B210000}"/>
    <cellStyle name="Note 3 2 2 4 2" xfId="3660" xr:uid="{00000000-0005-0000-0000-00006C210000}"/>
    <cellStyle name="Note 3 2 2 4 2 2" xfId="7882" xr:uid="{00000000-0005-0000-0000-00006D210000}"/>
    <cellStyle name="Note 3 2 2 4 2 2 2" xfId="17208" xr:uid="{103BCC0A-6DB1-456C-BFF9-E50285C16ADF}"/>
    <cellStyle name="Note 3 2 2 4 2 3" xfId="12991" xr:uid="{E1C41110-2F32-4A55-B750-869359CFB99C}"/>
    <cellStyle name="Note 3 2 2 4 3" xfId="5737" xr:uid="{00000000-0005-0000-0000-00006E210000}"/>
    <cellStyle name="Note 3 2 2 4 3 2" xfId="15063" xr:uid="{B1A42DBD-6763-47AF-B841-7950D6854151}"/>
    <cellStyle name="Note 3 2 2 4 4" xfId="10846" xr:uid="{F765BA66-740D-41C5-BE4F-D5D460D71053}"/>
    <cellStyle name="Note 3 2 2 5" xfId="1844" xr:uid="{00000000-0005-0000-0000-00006F210000}"/>
    <cellStyle name="Note 3 2 2 5 2" xfId="4073" xr:uid="{00000000-0005-0000-0000-000070210000}"/>
    <cellStyle name="Note 3 2 2 5 2 2" xfId="8295" xr:uid="{00000000-0005-0000-0000-000071210000}"/>
    <cellStyle name="Note 3 2 2 5 2 2 2" xfId="17621" xr:uid="{9968D3BB-EB8E-41F8-A7A3-9F02F7681C42}"/>
    <cellStyle name="Note 3 2 2 5 2 3" xfId="13404" xr:uid="{9403DC5D-3087-40FF-BE54-47B37647E1E0}"/>
    <cellStyle name="Note 3 2 2 5 3" xfId="6150" xr:uid="{00000000-0005-0000-0000-000072210000}"/>
    <cellStyle name="Note 3 2 2 5 3 2" xfId="15476" xr:uid="{53B56BC6-4ED9-47B2-9F75-BB322F44ACE7}"/>
    <cellStyle name="Note 3 2 2 5 4" xfId="11259" xr:uid="{74F6DBC4-7A3D-4B59-8C6B-993A0E608832}"/>
    <cellStyle name="Note 3 2 2 6" xfId="2257" xr:uid="{00000000-0005-0000-0000-000073210000}"/>
    <cellStyle name="Note 3 2 2 6 2" xfId="4486" xr:uid="{00000000-0005-0000-0000-000074210000}"/>
    <cellStyle name="Note 3 2 2 6 2 2" xfId="8708" xr:uid="{00000000-0005-0000-0000-000075210000}"/>
    <cellStyle name="Note 3 2 2 6 2 2 2" xfId="18034" xr:uid="{D55FCD25-D9D5-49ED-BE36-670BC0AC3562}"/>
    <cellStyle name="Note 3 2 2 6 2 3" xfId="13817" xr:uid="{86CD3C9B-894F-4B2C-B95F-297CCDA142BD}"/>
    <cellStyle name="Note 3 2 2 6 3" xfId="6563" xr:uid="{00000000-0005-0000-0000-000076210000}"/>
    <cellStyle name="Note 3 2 2 6 3 2" xfId="15889" xr:uid="{94BD4054-EDF2-4B2C-A95A-4B2E34A18E21}"/>
    <cellStyle name="Note 3 2 2 6 4" xfId="11672" xr:uid="{4C6B8C37-4C2B-46AA-BC4D-36DCFA4A7841}"/>
    <cellStyle name="Note 3 2 2 7" xfId="2693" xr:uid="{00000000-0005-0000-0000-000077210000}"/>
    <cellStyle name="Note 3 2 2 7 2" xfId="6976" xr:uid="{00000000-0005-0000-0000-000078210000}"/>
    <cellStyle name="Note 3 2 2 7 2 2" xfId="16302" xr:uid="{54CE6E5B-0E51-41B7-805B-1E23B61EA32F}"/>
    <cellStyle name="Note 3 2 2 7 3" xfId="12085" xr:uid="{310BA1E5-12B3-400B-A0BF-45B4E44BDCB5}"/>
    <cellStyle name="Note 3 2 2 8" xfId="2752" xr:uid="{00000000-0005-0000-0000-000079210000}"/>
    <cellStyle name="Note 3 2 2 9" xfId="2833" xr:uid="{00000000-0005-0000-0000-00007A210000}"/>
    <cellStyle name="Note 3 2 2 9 2" xfId="7056" xr:uid="{00000000-0005-0000-0000-00007B210000}"/>
    <cellStyle name="Note 3 2 2 9 2 2" xfId="16382" xr:uid="{98242DA9-0582-4BE2-A09F-5FD28D284393}"/>
    <cellStyle name="Note 3 2 2 9 3" xfId="12165" xr:uid="{A981F55C-8EE9-476F-B8BD-876F1EA56717}"/>
    <cellStyle name="Note 3 2 3" xfId="557" xr:uid="{00000000-0005-0000-0000-00007C210000}"/>
    <cellStyle name="Note 3 2 3 10" xfId="9049" xr:uid="{98DA21AE-8EED-4AF2-A5D5-94394E9C9EFE}"/>
    <cellStyle name="Note 3 2 3 11" xfId="10022" xr:uid="{326EE453-3526-438D-AA08-9C5C2D60CC51}"/>
    <cellStyle name="Note 3 2 3 2" xfId="1017" xr:uid="{00000000-0005-0000-0000-00007D210000}"/>
    <cellStyle name="Note 3 2 3 2 2" xfId="3249" xr:uid="{00000000-0005-0000-0000-00007E210000}"/>
    <cellStyle name="Note 3 2 3 2 2 2" xfId="7471" xr:uid="{00000000-0005-0000-0000-00007F210000}"/>
    <cellStyle name="Note 3 2 3 2 2 2 2" xfId="16797" xr:uid="{CFBB6506-FAEC-48F7-94EE-11E5CDE1E16C}"/>
    <cellStyle name="Note 3 2 3 2 2 3" xfId="12580" xr:uid="{C5A69952-A0CC-4395-A85F-AEBD3628A702}"/>
    <cellStyle name="Note 3 2 3 2 3" xfId="5326" xr:uid="{00000000-0005-0000-0000-000080210000}"/>
    <cellStyle name="Note 3 2 3 2 3 2" xfId="14652" xr:uid="{11A57400-E707-48F4-9E80-95FB23C8FC30}"/>
    <cellStyle name="Note 3 2 3 2 4" xfId="9474" xr:uid="{8827394E-7DCF-4E58-BF45-94E8587F7D91}"/>
    <cellStyle name="Note 3 2 3 2 5" xfId="10435" xr:uid="{0D956FC3-ECF5-43A0-BB59-B402ED595805}"/>
    <cellStyle name="Note 3 2 3 3" xfId="1432" xr:uid="{00000000-0005-0000-0000-000081210000}"/>
    <cellStyle name="Note 3 2 3 3 2" xfId="3662" xr:uid="{00000000-0005-0000-0000-000082210000}"/>
    <cellStyle name="Note 3 2 3 3 2 2" xfId="7884" xr:uid="{00000000-0005-0000-0000-000083210000}"/>
    <cellStyle name="Note 3 2 3 3 2 2 2" xfId="17210" xr:uid="{26DC78BF-5CD8-4894-9E1B-0F7A80A8122E}"/>
    <cellStyle name="Note 3 2 3 3 2 3" xfId="12993" xr:uid="{9EEE80AD-6027-476C-83A9-7E41116FD0BF}"/>
    <cellStyle name="Note 3 2 3 3 3" xfId="5739" xr:uid="{00000000-0005-0000-0000-000084210000}"/>
    <cellStyle name="Note 3 2 3 3 3 2" xfId="15065" xr:uid="{2CA7B4EE-A159-4769-A5D7-0ADEFAD19B13}"/>
    <cellStyle name="Note 3 2 3 3 4" xfId="10848" xr:uid="{F5F26CAC-9131-429C-91DF-C3981710CE37}"/>
    <cellStyle name="Note 3 2 3 4" xfId="1846" xr:uid="{00000000-0005-0000-0000-000085210000}"/>
    <cellStyle name="Note 3 2 3 4 2" xfId="4075" xr:uid="{00000000-0005-0000-0000-000086210000}"/>
    <cellStyle name="Note 3 2 3 4 2 2" xfId="8297" xr:uid="{00000000-0005-0000-0000-000087210000}"/>
    <cellStyle name="Note 3 2 3 4 2 2 2" xfId="17623" xr:uid="{D9315F65-D88C-4CEB-BAAC-2D8C3235D6C6}"/>
    <cellStyle name="Note 3 2 3 4 2 3" xfId="13406" xr:uid="{76B6E18C-F4A6-425D-9208-2089CBDE196C}"/>
    <cellStyle name="Note 3 2 3 4 3" xfId="6152" xr:uid="{00000000-0005-0000-0000-000088210000}"/>
    <cellStyle name="Note 3 2 3 4 3 2" xfId="15478" xr:uid="{3B79502E-A430-41F1-A0A5-56A0A0445F8F}"/>
    <cellStyle name="Note 3 2 3 4 4" xfId="11261" xr:uid="{CABF0E58-39E8-4230-BB80-0AD54E2B17B3}"/>
    <cellStyle name="Note 3 2 3 5" xfId="2259" xr:uid="{00000000-0005-0000-0000-000089210000}"/>
    <cellStyle name="Note 3 2 3 5 2" xfId="4488" xr:uid="{00000000-0005-0000-0000-00008A210000}"/>
    <cellStyle name="Note 3 2 3 5 2 2" xfId="8710" xr:uid="{00000000-0005-0000-0000-00008B210000}"/>
    <cellStyle name="Note 3 2 3 5 2 2 2" xfId="18036" xr:uid="{D1F97075-5F4A-496E-A1BE-AE1C8ABF71B5}"/>
    <cellStyle name="Note 3 2 3 5 2 3" xfId="13819" xr:uid="{FFF66A93-7DDB-47F3-A104-F52120E3C1B7}"/>
    <cellStyle name="Note 3 2 3 5 3" xfId="6565" xr:uid="{00000000-0005-0000-0000-00008C210000}"/>
    <cellStyle name="Note 3 2 3 5 3 2" xfId="15891" xr:uid="{B58AAD7A-16FA-4CE1-B8C6-B101FF3D43EE}"/>
    <cellStyle name="Note 3 2 3 5 4" xfId="11674" xr:uid="{4B1B5F01-658F-4AB2-B198-67DCD512D713}"/>
    <cellStyle name="Note 3 2 3 6" xfId="2695" xr:uid="{00000000-0005-0000-0000-00008D210000}"/>
    <cellStyle name="Note 3 2 3 6 2" xfId="6978" xr:uid="{00000000-0005-0000-0000-00008E210000}"/>
    <cellStyle name="Note 3 2 3 6 2 2" xfId="16304" xr:uid="{E945C4B6-1603-494C-8C1C-75FAFE166EBA}"/>
    <cellStyle name="Note 3 2 3 6 3" xfId="12087" xr:uid="{F08AB2DF-06B7-4E36-B189-224E33F888A8}"/>
    <cellStyle name="Note 3 2 3 7" xfId="2754" xr:uid="{00000000-0005-0000-0000-00008F210000}"/>
    <cellStyle name="Note 3 2 3 8" xfId="2835" xr:uid="{00000000-0005-0000-0000-000090210000}"/>
    <cellStyle name="Note 3 2 3 8 2" xfId="7058" xr:uid="{00000000-0005-0000-0000-000091210000}"/>
    <cellStyle name="Note 3 2 3 8 2 2" xfId="16384" xr:uid="{BAFE0D92-7461-4DC9-9196-85C34193D837}"/>
    <cellStyle name="Note 3 2 3 8 3" xfId="12167" xr:uid="{4B36F2A2-36C2-46FD-81E4-D1B1AD2B779E}"/>
    <cellStyle name="Note 3 2 3 9" xfId="4913" xr:uid="{00000000-0005-0000-0000-000092210000}"/>
    <cellStyle name="Note 3 2 3 9 2" xfId="14239" xr:uid="{32ECF9D6-497A-45BB-813C-D29D40453685}"/>
    <cellStyle name="Note 3 2 4" xfId="1014" xr:uid="{00000000-0005-0000-0000-000093210000}"/>
    <cellStyle name="Note 3 2 4 2" xfId="3246" xr:uid="{00000000-0005-0000-0000-000094210000}"/>
    <cellStyle name="Note 3 2 4 2 2" xfId="7468" xr:uid="{00000000-0005-0000-0000-000095210000}"/>
    <cellStyle name="Note 3 2 4 2 2 2" xfId="16794" xr:uid="{A94940C1-6D33-4CF1-9D3D-3840DC1E046A}"/>
    <cellStyle name="Note 3 2 4 2 3" xfId="12577" xr:uid="{925DC7F2-310E-47F9-8BF8-9E5B6DABF6E3}"/>
    <cellStyle name="Note 3 2 4 3" xfId="5323" xr:uid="{00000000-0005-0000-0000-000096210000}"/>
    <cellStyle name="Note 3 2 4 3 2" xfId="14649" xr:uid="{C618468F-A4C1-4F31-A1E1-D0514322FA75}"/>
    <cellStyle name="Note 3 2 4 4" xfId="9267" xr:uid="{1291CED5-E18E-4F1A-8856-A132B18F5C81}"/>
    <cellStyle name="Note 3 2 4 5" xfId="10432" xr:uid="{98AFA250-4280-476D-9417-BD75DD4D53EA}"/>
    <cellStyle name="Note 3 2 5" xfId="1429" xr:uid="{00000000-0005-0000-0000-000097210000}"/>
    <cellStyle name="Note 3 2 5 2" xfId="3659" xr:uid="{00000000-0005-0000-0000-000098210000}"/>
    <cellStyle name="Note 3 2 5 2 2" xfId="7881" xr:uid="{00000000-0005-0000-0000-000099210000}"/>
    <cellStyle name="Note 3 2 5 2 2 2" xfId="17207" xr:uid="{93E4D5C4-A0C5-484B-A096-C2A35BBDC0A6}"/>
    <cellStyle name="Note 3 2 5 2 3" xfId="12990" xr:uid="{C213F143-B6F1-4EE0-BFE1-A6EBCF62A8FB}"/>
    <cellStyle name="Note 3 2 5 3" xfId="5736" xr:uid="{00000000-0005-0000-0000-00009A210000}"/>
    <cellStyle name="Note 3 2 5 3 2" xfId="15062" xr:uid="{E2F94B21-AE8B-48D7-8F85-9A2C0E090216}"/>
    <cellStyle name="Note 3 2 5 4" xfId="10845" xr:uid="{CDEC9F0B-E78C-48F4-9527-2496FBF2E28D}"/>
    <cellStyle name="Note 3 2 6" xfId="1843" xr:uid="{00000000-0005-0000-0000-00009B210000}"/>
    <cellStyle name="Note 3 2 6 2" xfId="4072" xr:uid="{00000000-0005-0000-0000-00009C210000}"/>
    <cellStyle name="Note 3 2 6 2 2" xfId="8294" xr:uid="{00000000-0005-0000-0000-00009D210000}"/>
    <cellStyle name="Note 3 2 6 2 2 2" xfId="17620" xr:uid="{ECD99C05-73D0-4149-9777-B42A3B1E83E0}"/>
    <cellStyle name="Note 3 2 6 2 3" xfId="13403" xr:uid="{954D3BCD-5A6D-47A7-9FB6-FB939DFA7C28}"/>
    <cellStyle name="Note 3 2 6 3" xfId="6149" xr:uid="{00000000-0005-0000-0000-00009E210000}"/>
    <cellStyle name="Note 3 2 6 3 2" xfId="15475" xr:uid="{2FCDF3E9-364E-4882-8DBE-252DDBDA1B88}"/>
    <cellStyle name="Note 3 2 6 4" xfId="11258" xr:uid="{B1B11FB9-C850-4131-9570-58FBA2097E76}"/>
    <cellStyle name="Note 3 2 7" xfId="2256" xr:uid="{00000000-0005-0000-0000-00009F210000}"/>
    <cellStyle name="Note 3 2 7 2" xfId="4485" xr:uid="{00000000-0005-0000-0000-0000A0210000}"/>
    <cellStyle name="Note 3 2 7 2 2" xfId="8707" xr:uid="{00000000-0005-0000-0000-0000A1210000}"/>
    <cellStyle name="Note 3 2 7 2 2 2" xfId="18033" xr:uid="{205A9027-6786-43FB-8236-CE3C59F2234F}"/>
    <cellStyle name="Note 3 2 7 2 3" xfId="13816" xr:uid="{EAA33EF9-23A3-4584-9134-BD2E9BED9E2F}"/>
    <cellStyle name="Note 3 2 7 3" xfId="6562" xr:uid="{00000000-0005-0000-0000-0000A2210000}"/>
    <cellStyle name="Note 3 2 7 3 2" xfId="15888" xr:uid="{DF1B849B-1899-48D8-8F42-FB8766343F68}"/>
    <cellStyle name="Note 3 2 7 4" xfId="11671" xr:uid="{2FB0D49C-3DCB-4F1E-A9FA-6C243F8FB5ED}"/>
    <cellStyle name="Note 3 2 8" xfId="2692" xr:uid="{00000000-0005-0000-0000-0000A3210000}"/>
    <cellStyle name="Note 3 2 8 2" xfId="6975" xr:uid="{00000000-0005-0000-0000-0000A4210000}"/>
    <cellStyle name="Note 3 2 8 2 2" xfId="16301" xr:uid="{FCAA4273-87C9-405C-899A-5E8B48DA089E}"/>
    <cellStyle name="Note 3 2 8 3" xfId="12084" xr:uid="{80FE39A9-284F-4A99-BC98-2D6DEF3D83A4}"/>
    <cellStyle name="Note 3 2 9" xfId="2751" xr:uid="{00000000-0005-0000-0000-0000A5210000}"/>
    <cellStyle name="Note 3 3" xfId="558" xr:uid="{00000000-0005-0000-0000-0000A6210000}"/>
    <cellStyle name="Note 3 3 10" xfId="4914" xr:uid="{00000000-0005-0000-0000-0000A7210000}"/>
    <cellStyle name="Note 3 3 10 2" xfId="14240" xr:uid="{088A905B-096A-4061-9B80-F759151A10D3}"/>
    <cellStyle name="Note 3 3 11" xfId="8892" xr:uid="{8511F94A-7472-4DD0-A9AB-40754FEE5F47}"/>
    <cellStyle name="Note 3 3 12" xfId="10023" xr:uid="{81C50C90-8C45-4763-8C79-C15A291292C1}"/>
    <cellStyle name="Note 3 3 2" xfId="559" xr:uid="{00000000-0005-0000-0000-0000A8210000}"/>
    <cellStyle name="Note 3 3 2 10" xfId="9099" xr:uid="{29F3AC20-D296-4B59-BA53-0A5C025B0569}"/>
    <cellStyle name="Note 3 3 2 11" xfId="10024" xr:uid="{BE669FEB-80D9-48DE-8CD4-5C3DC5914060}"/>
    <cellStyle name="Note 3 3 2 2" xfId="1019" xr:uid="{00000000-0005-0000-0000-0000A9210000}"/>
    <cellStyle name="Note 3 3 2 2 2" xfId="3251" xr:uid="{00000000-0005-0000-0000-0000AA210000}"/>
    <cellStyle name="Note 3 3 2 2 2 2" xfId="7473" xr:uid="{00000000-0005-0000-0000-0000AB210000}"/>
    <cellStyle name="Note 3 3 2 2 2 2 2" xfId="16799" xr:uid="{F9292D46-BBA7-4931-B57D-E120C4882B1E}"/>
    <cellStyle name="Note 3 3 2 2 2 3" xfId="12582" xr:uid="{400A0FDA-DEE6-413A-81A2-1AE63F913E20}"/>
    <cellStyle name="Note 3 3 2 2 3" xfId="5328" xr:uid="{00000000-0005-0000-0000-0000AC210000}"/>
    <cellStyle name="Note 3 3 2 2 3 2" xfId="14654" xr:uid="{520989E9-9810-4065-A11C-1F3AC1BD67F9}"/>
    <cellStyle name="Note 3 3 2 2 4" xfId="9524" xr:uid="{D03F5DE7-D9AB-48C0-A1E3-0A929D2C18C5}"/>
    <cellStyle name="Note 3 3 2 2 5" xfId="10437" xr:uid="{90AD2A85-11B2-4D0F-90BC-47727003C959}"/>
    <cellStyle name="Note 3 3 2 3" xfId="1434" xr:uid="{00000000-0005-0000-0000-0000AD210000}"/>
    <cellStyle name="Note 3 3 2 3 2" xfId="3664" xr:uid="{00000000-0005-0000-0000-0000AE210000}"/>
    <cellStyle name="Note 3 3 2 3 2 2" xfId="7886" xr:uid="{00000000-0005-0000-0000-0000AF210000}"/>
    <cellStyle name="Note 3 3 2 3 2 2 2" xfId="17212" xr:uid="{0F2BABE1-86A0-4D39-8605-2573B8956D27}"/>
    <cellStyle name="Note 3 3 2 3 2 3" xfId="12995" xr:uid="{E13B02CB-7E96-40F2-8257-FA6793B2B7ED}"/>
    <cellStyle name="Note 3 3 2 3 3" xfId="5741" xr:uid="{00000000-0005-0000-0000-0000B0210000}"/>
    <cellStyle name="Note 3 3 2 3 3 2" xfId="15067" xr:uid="{2344127E-02B6-406F-985C-94273448CEBC}"/>
    <cellStyle name="Note 3 3 2 3 4" xfId="10850" xr:uid="{CF616E43-0B02-4A73-81EE-1233B6D599DB}"/>
    <cellStyle name="Note 3 3 2 4" xfId="1848" xr:uid="{00000000-0005-0000-0000-0000B1210000}"/>
    <cellStyle name="Note 3 3 2 4 2" xfId="4077" xr:uid="{00000000-0005-0000-0000-0000B2210000}"/>
    <cellStyle name="Note 3 3 2 4 2 2" xfId="8299" xr:uid="{00000000-0005-0000-0000-0000B3210000}"/>
    <cellStyle name="Note 3 3 2 4 2 2 2" xfId="17625" xr:uid="{0A17EA97-392D-4A82-BC2C-9308636DC070}"/>
    <cellStyle name="Note 3 3 2 4 2 3" xfId="13408" xr:uid="{99248D45-08DD-455E-B753-46EE127B4D79}"/>
    <cellStyle name="Note 3 3 2 4 3" xfId="6154" xr:uid="{00000000-0005-0000-0000-0000B4210000}"/>
    <cellStyle name="Note 3 3 2 4 3 2" xfId="15480" xr:uid="{9B82672A-D45C-4F3E-87C7-20108DE42A55}"/>
    <cellStyle name="Note 3 3 2 4 4" xfId="11263" xr:uid="{6B530FBF-F011-4A44-B41E-300D93BECC3E}"/>
    <cellStyle name="Note 3 3 2 5" xfId="2261" xr:uid="{00000000-0005-0000-0000-0000B5210000}"/>
    <cellStyle name="Note 3 3 2 5 2" xfId="4490" xr:uid="{00000000-0005-0000-0000-0000B6210000}"/>
    <cellStyle name="Note 3 3 2 5 2 2" xfId="8712" xr:uid="{00000000-0005-0000-0000-0000B7210000}"/>
    <cellStyle name="Note 3 3 2 5 2 2 2" xfId="18038" xr:uid="{1C739F85-F17D-471D-9448-AF6A98688AF9}"/>
    <cellStyle name="Note 3 3 2 5 2 3" xfId="13821" xr:uid="{4E194F2B-2B48-4843-8D68-C4BC2ACBA2CF}"/>
    <cellStyle name="Note 3 3 2 5 3" xfId="6567" xr:uid="{00000000-0005-0000-0000-0000B8210000}"/>
    <cellStyle name="Note 3 3 2 5 3 2" xfId="15893" xr:uid="{2CFB2375-E57D-4BAF-ACC1-26571C6A0C70}"/>
    <cellStyle name="Note 3 3 2 5 4" xfId="11676" xr:uid="{D175ADB4-04A1-440A-93F3-4D95D5BAD9CF}"/>
    <cellStyle name="Note 3 3 2 6" xfId="2697" xr:uid="{00000000-0005-0000-0000-0000B9210000}"/>
    <cellStyle name="Note 3 3 2 6 2" xfId="6980" xr:uid="{00000000-0005-0000-0000-0000BA210000}"/>
    <cellStyle name="Note 3 3 2 6 2 2" xfId="16306" xr:uid="{855CF38E-7FC4-464E-8E75-A51689F3DDF2}"/>
    <cellStyle name="Note 3 3 2 6 3" xfId="12089" xr:uid="{0B0D14C9-F36E-445C-AED7-400C0043DB22}"/>
    <cellStyle name="Note 3 3 2 7" xfId="2756" xr:uid="{00000000-0005-0000-0000-0000BB210000}"/>
    <cellStyle name="Note 3 3 2 8" xfId="2837" xr:uid="{00000000-0005-0000-0000-0000BC210000}"/>
    <cellStyle name="Note 3 3 2 8 2" xfId="7060" xr:uid="{00000000-0005-0000-0000-0000BD210000}"/>
    <cellStyle name="Note 3 3 2 8 2 2" xfId="16386" xr:uid="{54167F57-16E6-4EB8-9E36-E5E08823232E}"/>
    <cellStyle name="Note 3 3 2 8 3" xfId="12169" xr:uid="{1BB5EC66-578F-42C0-AAEB-BCA90ED9892D}"/>
    <cellStyle name="Note 3 3 2 9" xfId="4915" xr:uid="{00000000-0005-0000-0000-0000BE210000}"/>
    <cellStyle name="Note 3 3 2 9 2" xfId="14241" xr:uid="{81153BDB-2A2E-43C6-8346-A2FA1D8F570D}"/>
    <cellStyle name="Note 3 3 3" xfId="1018" xr:uid="{00000000-0005-0000-0000-0000BF210000}"/>
    <cellStyle name="Note 3 3 3 2" xfId="3250" xr:uid="{00000000-0005-0000-0000-0000C0210000}"/>
    <cellStyle name="Note 3 3 3 2 2" xfId="7472" xr:uid="{00000000-0005-0000-0000-0000C1210000}"/>
    <cellStyle name="Note 3 3 3 2 2 2" xfId="16798" xr:uid="{1AC2AA01-EE00-41D6-A017-410D11DCB7B7}"/>
    <cellStyle name="Note 3 3 3 2 3" xfId="12581" xr:uid="{DFA2B92B-29DA-4D5F-9143-C98E87C6661B}"/>
    <cellStyle name="Note 3 3 3 3" xfId="5327" xr:uid="{00000000-0005-0000-0000-0000C2210000}"/>
    <cellStyle name="Note 3 3 3 3 2" xfId="14653" xr:uid="{5AA4B9D2-9B81-46A8-830B-FBB4A3EF78ED}"/>
    <cellStyle name="Note 3 3 3 4" xfId="9317" xr:uid="{171D8024-554D-4F15-BFD3-81CBE1A601EA}"/>
    <cellStyle name="Note 3 3 3 5" xfId="10436" xr:uid="{E07BC56A-55E9-4C30-9F83-607762B34369}"/>
    <cellStyle name="Note 3 3 4" xfId="1433" xr:uid="{00000000-0005-0000-0000-0000C3210000}"/>
    <cellStyle name="Note 3 3 4 2" xfId="3663" xr:uid="{00000000-0005-0000-0000-0000C4210000}"/>
    <cellStyle name="Note 3 3 4 2 2" xfId="7885" xr:uid="{00000000-0005-0000-0000-0000C5210000}"/>
    <cellStyle name="Note 3 3 4 2 2 2" xfId="17211" xr:uid="{EBDD13B3-6AA3-4CE1-9EE8-F628771887DB}"/>
    <cellStyle name="Note 3 3 4 2 3" xfId="12994" xr:uid="{0F23BC09-3197-4517-8D5C-481D19F4E40D}"/>
    <cellStyle name="Note 3 3 4 3" xfId="5740" xr:uid="{00000000-0005-0000-0000-0000C6210000}"/>
    <cellStyle name="Note 3 3 4 3 2" xfId="15066" xr:uid="{B1F1FB43-A575-41FF-8E19-E37BECAFC82F}"/>
    <cellStyle name="Note 3 3 4 4" xfId="10849" xr:uid="{9D7C29FE-02B9-4B3F-A6E2-26C995ED0E76}"/>
    <cellStyle name="Note 3 3 5" xfId="1847" xr:uid="{00000000-0005-0000-0000-0000C7210000}"/>
    <cellStyle name="Note 3 3 5 2" xfId="4076" xr:uid="{00000000-0005-0000-0000-0000C8210000}"/>
    <cellStyle name="Note 3 3 5 2 2" xfId="8298" xr:uid="{00000000-0005-0000-0000-0000C9210000}"/>
    <cellStyle name="Note 3 3 5 2 2 2" xfId="17624" xr:uid="{18751B28-65D4-4BE6-8F25-BBF3D09A6057}"/>
    <cellStyle name="Note 3 3 5 2 3" xfId="13407" xr:uid="{A784652B-3943-4C8F-9A84-19ABDCFB8D12}"/>
    <cellStyle name="Note 3 3 5 3" xfId="6153" xr:uid="{00000000-0005-0000-0000-0000CA210000}"/>
    <cellStyle name="Note 3 3 5 3 2" xfId="15479" xr:uid="{737FE79A-7149-4DBF-BD30-28CCEAEAE927}"/>
    <cellStyle name="Note 3 3 5 4" xfId="11262" xr:uid="{40A28A84-F323-4945-A2F7-BBBCB0595A9E}"/>
    <cellStyle name="Note 3 3 6" xfId="2260" xr:uid="{00000000-0005-0000-0000-0000CB210000}"/>
    <cellStyle name="Note 3 3 6 2" xfId="4489" xr:uid="{00000000-0005-0000-0000-0000CC210000}"/>
    <cellStyle name="Note 3 3 6 2 2" xfId="8711" xr:uid="{00000000-0005-0000-0000-0000CD210000}"/>
    <cellStyle name="Note 3 3 6 2 2 2" xfId="18037" xr:uid="{3CC4C975-C4D2-459D-BD31-B8C434FBADD2}"/>
    <cellStyle name="Note 3 3 6 2 3" xfId="13820" xr:uid="{DC77A278-B194-418B-8B7D-7DD371DE0C18}"/>
    <cellStyle name="Note 3 3 6 3" xfId="6566" xr:uid="{00000000-0005-0000-0000-0000CE210000}"/>
    <cellStyle name="Note 3 3 6 3 2" xfId="15892" xr:uid="{2F8F40EA-E8E8-408E-A4B0-C526ADAB29F7}"/>
    <cellStyle name="Note 3 3 6 4" xfId="11675" xr:uid="{945AEBDB-70A1-4D61-81C2-5B4346564C00}"/>
    <cellStyle name="Note 3 3 7" xfId="2696" xr:uid="{00000000-0005-0000-0000-0000CF210000}"/>
    <cellStyle name="Note 3 3 7 2" xfId="6979" xr:uid="{00000000-0005-0000-0000-0000D0210000}"/>
    <cellStyle name="Note 3 3 7 2 2" xfId="16305" xr:uid="{578908A0-7083-424C-B570-E6FA7D76ED56}"/>
    <cellStyle name="Note 3 3 7 3" xfId="12088" xr:uid="{5C1BB734-EE28-4458-B67D-28A742070EC4}"/>
    <cellStyle name="Note 3 3 8" xfId="2755" xr:uid="{00000000-0005-0000-0000-0000D1210000}"/>
    <cellStyle name="Note 3 3 9" xfId="2836" xr:uid="{00000000-0005-0000-0000-0000D2210000}"/>
    <cellStyle name="Note 3 3 9 2" xfId="7059" xr:uid="{00000000-0005-0000-0000-0000D3210000}"/>
    <cellStyle name="Note 3 3 9 2 2" xfId="16385" xr:uid="{26C68B80-6725-4890-A752-BD9C2E537155}"/>
    <cellStyle name="Note 3 3 9 3" xfId="12168" xr:uid="{9A7EA6E7-5E3A-4186-B677-2A422EDF1B0B}"/>
    <cellStyle name="Note 3 4" xfId="560" xr:uid="{00000000-0005-0000-0000-0000D4210000}"/>
    <cellStyle name="Note 3 4 10" xfId="8996" xr:uid="{0D704BEA-0820-4E61-9EA3-F4C1E73C6543}"/>
    <cellStyle name="Note 3 4 11" xfId="10025" xr:uid="{4C0DF649-32A8-4039-AEF7-4AB66807950A}"/>
    <cellStyle name="Note 3 4 2" xfId="1020" xr:uid="{00000000-0005-0000-0000-0000D5210000}"/>
    <cellStyle name="Note 3 4 2 2" xfId="3252" xr:uid="{00000000-0005-0000-0000-0000D6210000}"/>
    <cellStyle name="Note 3 4 2 2 2" xfId="7474" xr:uid="{00000000-0005-0000-0000-0000D7210000}"/>
    <cellStyle name="Note 3 4 2 2 2 2" xfId="16800" xr:uid="{7BC637F7-8209-472C-9853-8682E7B4DB0C}"/>
    <cellStyle name="Note 3 4 2 2 3" xfId="12583" xr:uid="{CED10442-C9D0-4361-B199-F28FF873B8DF}"/>
    <cellStyle name="Note 3 4 2 3" xfId="5329" xr:uid="{00000000-0005-0000-0000-0000D8210000}"/>
    <cellStyle name="Note 3 4 2 3 2" xfId="14655" xr:uid="{74B7046F-3594-49FC-95D4-635C2382501D}"/>
    <cellStyle name="Note 3 4 2 4" xfId="9421" xr:uid="{EC0A57E0-416C-4EC5-866A-A09E44531CB5}"/>
    <cellStyle name="Note 3 4 2 5" xfId="10438" xr:uid="{33E432F1-6C1D-46BC-95E9-CEEC3781A702}"/>
    <cellStyle name="Note 3 4 3" xfId="1435" xr:uid="{00000000-0005-0000-0000-0000D9210000}"/>
    <cellStyle name="Note 3 4 3 2" xfId="3665" xr:uid="{00000000-0005-0000-0000-0000DA210000}"/>
    <cellStyle name="Note 3 4 3 2 2" xfId="7887" xr:uid="{00000000-0005-0000-0000-0000DB210000}"/>
    <cellStyle name="Note 3 4 3 2 2 2" xfId="17213" xr:uid="{753EB9A4-02F5-4A38-982F-1CDDBD750460}"/>
    <cellStyle name="Note 3 4 3 2 3" xfId="12996" xr:uid="{29AAFED6-502A-43F5-A12E-186BEEA0ED87}"/>
    <cellStyle name="Note 3 4 3 3" xfId="5742" xr:uid="{00000000-0005-0000-0000-0000DC210000}"/>
    <cellStyle name="Note 3 4 3 3 2" xfId="15068" xr:uid="{C4433046-8C58-466A-999E-0D53BB21BDF0}"/>
    <cellStyle name="Note 3 4 3 4" xfId="10851" xr:uid="{D61B1519-8FB7-4D40-A945-636690D70F41}"/>
    <cellStyle name="Note 3 4 4" xfId="1849" xr:uid="{00000000-0005-0000-0000-0000DD210000}"/>
    <cellStyle name="Note 3 4 4 2" xfId="4078" xr:uid="{00000000-0005-0000-0000-0000DE210000}"/>
    <cellStyle name="Note 3 4 4 2 2" xfId="8300" xr:uid="{00000000-0005-0000-0000-0000DF210000}"/>
    <cellStyle name="Note 3 4 4 2 2 2" xfId="17626" xr:uid="{8A5B4B79-3CF1-4DE4-AB0C-D32DF9F6831D}"/>
    <cellStyle name="Note 3 4 4 2 3" xfId="13409" xr:uid="{3EB5A53C-AA8D-44CE-AB5D-1B0FE2AB02DF}"/>
    <cellStyle name="Note 3 4 4 3" xfId="6155" xr:uid="{00000000-0005-0000-0000-0000E0210000}"/>
    <cellStyle name="Note 3 4 4 3 2" xfId="15481" xr:uid="{B41E100E-3A96-4220-834B-0B6924455033}"/>
    <cellStyle name="Note 3 4 4 4" xfId="11264" xr:uid="{ED3296F6-E1B9-4822-8DB0-D87298C09EE0}"/>
    <cellStyle name="Note 3 4 5" xfId="2262" xr:uid="{00000000-0005-0000-0000-0000E1210000}"/>
    <cellStyle name="Note 3 4 5 2" xfId="4491" xr:uid="{00000000-0005-0000-0000-0000E2210000}"/>
    <cellStyle name="Note 3 4 5 2 2" xfId="8713" xr:uid="{00000000-0005-0000-0000-0000E3210000}"/>
    <cellStyle name="Note 3 4 5 2 2 2" xfId="18039" xr:uid="{C033810D-AE3C-45A5-89FF-E3CEC4B38EF4}"/>
    <cellStyle name="Note 3 4 5 2 3" xfId="13822" xr:uid="{61A6EB6C-16B6-477E-8A39-9CF9285FFB46}"/>
    <cellStyle name="Note 3 4 5 3" xfId="6568" xr:uid="{00000000-0005-0000-0000-0000E4210000}"/>
    <cellStyle name="Note 3 4 5 3 2" xfId="15894" xr:uid="{8D454C44-DFED-4066-B868-BF0DF1D1B88A}"/>
    <cellStyle name="Note 3 4 5 4" xfId="11677" xr:uid="{821379E6-28F5-473C-88EF-8A4B85B46966}"/>
    <cellStyle name="Note 3 4 6" xfId="2698" xr:uid="{00000000-0005-0000-0000-0000E5210000}"/>
    <cellStyle name="Note 3 4 6 2" xfId="6981" xr:uid="{00000000-0005-0000-0000-0000E6210000}"/>
    <cellStyle name="Note 3 4 6 2 2" xfId="16307" xr:uid="{E82A78DA-C758-4064-812E-B90F94AB8975}"/>
    <cellStyle name="Note 3 4 6 3" xfId="12090" xr:uid="{5083DD9A-B3D6-4130-A19C-7A9E95C608AC}"/>
    <cellStyle name="Note 3 4 7" xfId="2757" xr:uid="{00000000-0005-0000-0000-0000E7210000}"/>
    <cellStyle name="Note 3 4 8" xfId="2838" xr:uid="{00000000-0005-0000-0000-0000E8210000}"/>
    <cellStyle name="Note 3 4 8 2" xfId="7061" xr:uid="{00000000-0005-0000-0000-0000E9210000}"/>
    <cellStyle name="Note 3 4 8 2 2" xfId="16387" xr:uid="{EEC25EAB-9BC1-4BE6-BCC3-B2814986C314}"/>
    <cellStyle name="Note 3 4 8 3" xfId="12170" xr:uid="{747CE60C-31C9-450C-95E6-2948BDC6BAA8}"/>
    <cellStyle name="Note 3 4 9" xfId="4916" xr:uid="{00000000-0005-0000-0000-0000EA210000}"/>
    <cellStyle name="Note 3 4 9 2" xfId="14242" xr:uid="{FDA4BAC6-2596-4695-BC83-2119F3572151}"/>
    <cellStyle name="Note 3 5" xfId="561" xr:uid="{00000000-0005-0000-0000-0000EB210000}"/>
    <cellStyle name="Note 3 5 10" xfId="9213" xr:uid="{D9D7FB9A-B03C-4A97-A778-36731B43DF3F}"/>
    <cellStyle name="Note 3 5 11" xfId="10026" xr:uid="{94FA303B-0B91-42F8-99E4-5FCD08D41024}"/>
    <cellStyle name="Note 3 5 2" xfId="1021" xr:uid="{00000000-0005-0000-0000-0000EC210000}"/>
    <cellStyle name="Note 3 5 2 2" xfId="3253" xr:uid="{00000000-0005-0000-0000-0000ED210000}"/>
    <cellStyle name="Note 3 5 2 2 2" xfId="7475" xr:uid="{00000000-0005-0000-0000-0000EE210000}"/>
    <cellStyle name="Note 3 5 2 2 2 2" xfId="16801" xr:uid="{7F7CD9D2-C22C-44ED-B82B-625CE17C7E9F}"/>
    <cellStyle name="Note 3 5 2 2 3" xfId="12584" xr:uid="{6FCC1414-6FCB-431C-A2E3-1CD2A6866D5A}"/>
    <cellStyle name="Note 3 5 2 3" xfId="5330" xr:uid="{00000000-0005-0000-0000-0000EF210000}"/>
    <cellStyle name="Note 3 5 2 3 2" xfId="14656" xr:uid="{10A3C224-F669-45C2-86FB-0D77931928C6}"/>
    <cellStyle name="Note 3 5 2 4" xfId="9611" xr:uid="{74765414-66B3-4FDA-BA21-3BFFEF98E338}"/>
    <cellStyle name="Note 3 5 2 5" xfId="10439" xr:uid="{395A9819-AAAB-44E4-A719-9D3BF8917660}"/>
    <cellStyle name="Note 3 5 3" xfId="1436" xr:uid="{00000000-0005-0000-0000-0000F0210000}"/>
    <cellStyle name="Note 3 5 3 2" xfId="3666" xr:uid="{00000000-0005-0000-0000-0000F1210000}"/>
    <cellStyle name="Note 3 5 3 2 2" xfId="7888" xr:uid="{00000000-0005-0000-0000-0000F2210000}"/>
    <cellStyle name="Note 3 5 3 2 2 2" xfId="17214" xr:uid="{6433A1A5-4CE0-4565-943F-47B6AB3A184A}"/>
    <cellStyle name="Note 3 5 3 2 3" xfId="12997" xr:uid="{60ABD6FB-2DC1-4A1B-BBDA-35E974F44F6E}"/>
    <cellStyle name="Note 3 5 3 3" xfId="5743" xr:uid="{00000000-0005-0000-0000-0000F3210000}"/>
    <cellStyle name="Note 3 5 3 3 2" xfId="15069" xr:uid="{7742DFBF-7423-400C-B02B-73D7024E5648}"/>
    <cellStyle name="Note 3 5 3 4" xfId="10852" xr:uid="{60CBBC3B-9E1A-4203-BD65-F6E8153F0D78}"/>
    <cellStyle name="Note 3 5 4" xfId="1850" xr:uid="{00000000-0005-0000-0000-0000F4210000}"/>
    <cellStyle name="Note 3 5 4 2" xfId="4079" xr:uid="{00000000-0005-0000-0000-0000F5210000}"/>
    <cellStyle name="Note 3 5 4 2 2" xfId="8301" xr:uid="{00000000-0005-0000-0000-0000F6210000}"/>
    <cellStyle name="Note 3 5 4 2 2 2" xfId="17627" xr:uid="{67F483CB-9D19-4734-A5A6-6862E3D77EDA}"/>
    <cellStyle name="Note 3 5 4 2 3" xfId="13410" xr:uid="{DA8790DB-C652-4E12-8408-A1C3B0CB282F}"/>
    <cellStyle name="Note 3 5 4 3" xfId="6156" xr:uid="{00000000-0005-0000-0000-0000F7210000}"/>
    <cellStyle name="Note 3 5 4 3 2" xfId="15482" xr:uid="{5E7857BC-42A9-4966-9260-C51FD705DC28}"/>
    <cellStyle name="Note 3 5 4 4" xfId="11265" xr:uid="{7B393DD3-2C4D-4061-9CB4-144143A12642}"/>
    <cellStyle name="Note 3 5 5" xfId="2263" xr:uid="{00000000-0005-0000-0000-0000F8210000}"/>
    <cellStyle name="Note 3 5 5 2" xfId="4492" xr:uid="{00000000-0005-0000-0000-0000F9210000}"/>
    <cellStyle name="Note 3 5 5 2 2" xfId="8714" xr:uid="{00000000-0005-0000-0000-0000FA210000}"/>
    <cellStyle name="Note 3 5 5 2 2 2" xfId="18040" xr:uid="{D8AF25BF-0D09-40FC-AAB3-269447A9CB8E}"/>
    <cellStyle name="Note 3 5 5 2 3" xfId="13823" xr:uid="{0570FC01-8831-4992-BAE9-9F5D02CD7C55}"/>
    <cellStyle name="Note 3 5 5 3" xfId="6569" xr:uid="{00000000-0005-0000-0000-0000FB210000}"/>
    <cellStyle name="Note 3 5 5 3 2" xfId="15895" xr:uid="{0B6626C6-0656-4680-9CED-E12F56CEF586}"/>
    <cellStyle name="Note 3 5 5 4" xfId="11678" xr:uid="{99991D52-2618-44E1-827C-C2720B2B6E37}"/>
    <cellStyle name="Note 3 5 6" xfId="2699" xr:uid="{00000000-0005-0000-0000-0000FC210000}"/>
    <cellStyle name="Note 3 5 6 2" xfId="6982" xr:uid="{00000000-0005-0000-0000-0000FD210000}"/>
    <cellStyle name="Note 3 5 6 2 2" xfId="16308" xr:uid="{62AA9DC6-7464-4C54-A1C6-491C71503CA7}"/>
    <cellStyle name="Note 3 5 6 3" xfId="12091" xr:uid="{18742EA3-278C-4021-B131-DE49D500FB0C}"/>
    <cellStyle name="Note 3 5 7" xfId="2758" xr:uid="{00000000-0005-0000-0000-0000FE210000}"/>
    <cellStyle name="Note 3 5 8" xfId="2839" xr:uid="{00000000-0005-0000-0000-0000FF210000}"/>
    <cellStyle name="Note 3 5 8 2" xfId="7062" xr:uid="{00000000-0005-0000-0000-000000220000}"/>
    <cellStyle name="Note 3 5 8 2 2" xfId="16388" xr:uid="{26F56696-D26D-4346-BA7A-417F1708440B}"/>
    <cellStyle name="Note 3 5 8 3" xfId="12171" xr:uid="{E125288B-2B75-4863-A5EC-C5C56C5FC6DD}"/>
    <cellStyle name="Note 3 5 9" xfId="4917" xr:uid="{00000000-0005-0000-0000-000001220000}"/>
    <cellStyle name="Note 3 5 9 2" xfId="14243" xr:uid="{62611D33-39BD-4A22-9EE7-3B92F9DC87E3}"/>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C7B123DD-1DB6-4392-828F-7D270D43B4D3}"/>
    <cellStyle name="Percent 4" xfId="4502" xr:uid="{00000000-0005-0000-0000-000007220000}"/>
    <cellStyle name="Percent 4 2" xfId="8717" xr:uid="{00000000-0005-0000-0000-000008220000}"/>
    <cellStyle name="Percent 4 2 2" xfId="18043" xr:uid="{FA82567A-5C9B-4F60-8432-348B36A32B99}"/>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30E24DF2-79A5-4F56-9C45-8E9A96934606}"/>
    <cellStyle name="Percent 4 3 2 2 2 3" xfId="18056" xr:uid="{6D5EDB0A-D1C3-44BC-9D2E-4760493BB377}"/>
    <cellStyle name="Percent 4 3 2 2 3" xfId="18052" xr:uid="{1A9E5717-03BF-4097-B6E6-A14B6250E664}"/>
    <cellStyle name="Percent 4 3 2 3" xfId="18049" xr:uid="{DE6B1166-9C09-44D3-A13D-DB15E82AEFEA}"/>
    <cellStyle name="Percent 4 3 3" xfId="18046" xr:uid="{0BE29BC7-14F2-4DA4-A781-36209951A580}"/>
    <cellStyle name="Percent 4 4" xfId="13829" xr:uid="{3226A5AC-BF8A-4F7C-9EF6-FEBB25F82106}"/>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zoomScale="130" zoomScaleNormal="13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8" t="s">
        <v>1992</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8" t="s">
        <v>1993</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8" t="s">
        <v>2527</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2526</v>
      </c>
      <c r="E18" s="441"/>
      <c r="G18" s="441"/>
      <c r="H18" s="441"/>
      <c r="I18" s="441"/>
      <c r="J18" s="1270" t="s">
        <v>2525</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8" t="s">
        <v>1994</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8" t="s">
        <v>1995</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2601</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2095</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2602</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2603</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 customHeight="1">
      <c r="A40" s="4"/>
      <c r="B40"/>
      <c r="C40" s="2"/>
      <c r="D40" s="4"/>
      <c r="E40" s="4" t="s">
        <v>653</v>
      </c>
      <c r="F40" s="1268" t="s">
        <v>1163</v>
      </c>
    </row>
    <row r="41" spans="1:38" s="1268"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1997</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71" t="s">
        <v>1998</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 customHeight="1">
      <c r="A67" s="4"/>
      <c r="C67" s="2"/>
      <c r="D67" s="4"/>
      <c r="E67" s="4"/>
      <c r="F67" t="s">
        <v>509</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1171</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1174</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466</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2"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1257</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sqref="A1:J1"/>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76" t="s">
        <v>1573</v>
      </c>
      <c r="B1" s="2676"/>
      <c r="C1" s="2676"/>
      <c r="D1" s="2676"/>
      <c r="E1" s="2676"/>
      <c r="F1" s="2676"/>
      <c r="G1" s="2676"/>
      <c r="H1" s="2676"/>
      <c r="I1" s="2676"/>
      <c r="J1" s="2676"/>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39822175.608344376</v>
      </c>
      <c r="I3" s="1099"/>
    </row>
    <row r="4" spans="1:13" s="1046" customFormat="1" ht="20.100000000000001" customHeight="1">
      <c r="B4" s="1088"/>
      <c r="D4" s="1102"/>
      <c r="F4" s="1087" t="s">
        <v>1963</v>
      </c>
      <c r="G4" s="1086" t="s">
        <v>1962</v>
      </c>
      <c r="H4" s="1201">
        <f>I18</f>
        <v>25345382.954999998</v>
      </c>
      <c r="I4" s="1089"/>
      <c r="K4" s="1050"/>
    </row>
    <row r="5" spans="1:13" s="1046" customFormat="1" ht="20.100000000000001" customHeight="1" thickBot="1">
      <c r="B5" s="1090"/>
      <c r="C5" s="1091"/>
      <c r="D5" s="1103"/>
      <c r="E5" s="1092"/>
      <c r="F5" s="1103" t="s">
        <v>1913</v>
      </c>
      <c r="G5" s="1104"/>
      <c r="H5" s="1100">
        <f>IFERROR(H3/H4,0)</f>
        <v>1.5711806635175924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9" t="s">
        <v>1911</v>
      </c>
      <c r="C8" s="2680"/>
      <c r="D8" s="2680"/>
      <c r="E8" s="2681"/>
      <c r="G8" s="2682" t="s">
        <v>1912</v>
      </c>
      <c r="H8" s="2683"/>
      <c r="I8" s="2684"/>
      <c r="K8" s="1052"/>
    </row>
    <row r="9" spans="1:13" ht="15" customHeight="1">
      <c r="A9" s="1041"/>
      <c r="B9" s="2677" t="s">
        <v>1945</v>
      </c>
      <c r="C9" s="2677"/>
      <c r="D9" s="2677"/>
      <c r="E9" s="1054">
        <f>G33</f>
        <v>4507500</v>
      </c>
      <c r="G9" s="2673" t="s">
        <v>1943</v>
      </c>
      <c r="H9" s="2673"/>
      <c r="I9" s="1055">
        <f>MAX(SUMIF(Application!M562:M573,"Loan, Tax-Exempt",Application!AM562:AM573),27.5%*SUM('Sources and Uses Budget'!C8,'Sources and Uses Budget'!S105,'Sources and Uses Budget'!T105))</f>
        <v>16422285</v>
      </c>
      <c r="K9" s="1056"/>
      <c r="M9" s="1057"/>
    </row>
    <row r="10" spans="1:13" ht="15" customHeight="1" thickBot="1">
      <c r="A10" s="1041"/>
      <c r="B10" s="2677" t="s">
        <v>1946</v>
      </c>
      <c r="C10" s="2677"/>
      <c r="D10" s="2677"/>
      <c r="E10" s="1055">
        <f>G47</f>
        <v>19670400</v>
      </c>
      <c r="G10" s="2675" t="s">
        <v>1914</v>
      </c>
      <c r="H10" s="2675"/>
      <c r="I10" s="1134">
        <f>IF(OR(Application!Z205="State Farmworker Credit",Application!Z205="$500M (Farmworker Housing)"),0,'Basis &amp; Credits'!AB78)</f>
        <v>14180161</v>
      </c>
      <c r="M10" s="1057"/>
    </row>
    <row r="11" spans="1:13" ht="15" customHeight="1">
      <c r="A11" s="1041"/>
      <c r="B11" s="2686" t="s">
        <v>2208</v>
      </c>
      <c r="C11" s="2687"/>
      <c r="D11" s="2688"/>
      <c r="E11" s="1055">
        <f>SUM(E13,E12)</f>
        <v>7801225.6083443789</v>
      </c>
      <c r="G11" s="2685" t="s">
        <v>1954</v>
      </c>
      <c r="H11" s="2685"/>
      <c r="I11" s="1133">
        <f>I9+I10</f>
        <v>30602446</v>
      </c>
      <c r="M11" s="1057"/>
    </row>
    <row r="12" spans="1:13" ht="15" customHeight="1">
      <c r="A12" s="1058"/>
      <c r="B12" s="2678" t="s">
        <v>2567</v>
      </c>
      <c r="C12" s="2678"/>
      <c r="D12" s="2678"/>
      <c r="E12" s="1158">
        <f>G56</f>
        <v>920000</v>
      </c>
      <c r="M12" s="1057"/>
    </row>
    <row r="13" spans="1:13" ht="15" customHeight="1">
      <c r="A13" s="1044"/>
      <c r="B13" s="2678" t="s">
        <v>2568</v>
      </c>
      <c r="C13" s="2678"/>
      <c r="D13" s="2678"/>
      <c r="E13" s="1158">
        <f>IF(G67,MAX(G65,G79),G65)</f>
        <v>6881225.6083443789</v>
      </c>
      <c r="G13" s="2682" t="s">
        <v>1977</v>
      </c>
      <c r="H13" s="2683"/>
      <c r="I13" s="2684"/>
    </row>
    <row r="14" spans="1:13" ht="15" customHeight="1">
      <c r="A14" s="1044"/>
      <c r="B14" s="2686" t="s">
        <v>2209</v>
      </c>
      <c r="C14" s="2687"/>
      <c r="D14" s="2688"/>
      <c r="E14" s="1160">
        <f>MAX(E15,E16)+E17</f>
        <v>7843050</v>
      </c>
      <c r="G14" s="2673" t="s">
        <v>2584</v>
      </c>
      <c r="H14" s="2673"/>
      <c r="I14" s="1059">
        <f>IF(AND(G134="Yes",G136&lt;&gt;""),IF(OR(G141="Yes",G145="Yes"),18%,15%),0)</f>
        <v>0.15</v>
      </c>
      <c r="M14" s="1057"/>
    </row>
    <row r="15" spans="1:13" ht="15" customHeight="1">
      <c r="A15" s="1044"/>
      <c r="B15" s="2689" t="s">
        <v>2581</v>
      </c>
      <c r="C15" s="2690"/>
      <c r="D15" s="2691"/>
      <c r="E15" s="1158">
        <f>G94</f>
        <v>2704500</v>
      </c>
      <c r="G15" s="1131" t="s">
        <v>1955</v>
      </c>
      <c r="H15" s="1131"/>
      <c r="I15" s="1059">
        <f>IF(Application!AJ1041&gt;0,10%,IF(Application!AJ1045&gt;0,5%,0))</f>
        <v>0</v>
      </c>
      <c r="M15" s="1057"/>
    </row>
    <row r="16" spans="1:13" ht="15" customHeight="1">
      <c r="A16" s="1044"/>
      <c r="B16" s="2689" t="s">
        <v>2582</v>
      </c>
      <c r="C16" s="2690"/>
      <c r="D16" s="2691"/>
      <c r="E16" s="1158">
        <f>G104</f>
        <v>0</v>
      </c>
      <c r="G16" s="2673" t="s">
        <v>1956</v>
      </c>
      <c r="H16" s="2673"/>
      <c r="I16" s="1059">
        <f>G155</f>
        <v>2.1785714285714287E-2</v>
      </c>
    </row>
    <row r="17" spans="1:21" ht="15" customHeight="1" thickBot="1">
      <c r="A17" s="1044"/>
      <c r="B17" s="2689" t="s">
        <v>2583</v>
      </c>
      <c r="C17" s="2690"/>
      <c r="D17" s="2691"/>
      <c r="E17" s="1158">
        <f>G129</f>
        <v>5138550</v>
      </c>
      <c r="G17" s="2673" t="s">
        <v>2217</v>
      </c>
      <c r="H17" s="2673"/>
      <c r="I17" s="1059">
        <f>IF(AND(G161="Yes",G159),IF(G165&gt;15%,15%,G165),0)</f>
        <v>0</v>
      </c>
    </row>
    <row r="18" spans="1:21" ht="15" customHeight="1">
      <c r="A18" s="1041"/>
      <c r="B18" s="2674" t="s">
        <v>1910</v>
      </c>
      <c r="C18" s="2674"/>
      <c r="D18" s="2674"/>
      <c r="E18" s="1105">
        <f>SUM(E9:E11,E14)</f>
        <v>39822175.608344376</v>
      </c>
      <c r="G18" s="1132" t="s">
        <v>1944</v>
      </c>
      <c r="H18" s="1132"/>
      <c r="I18" s="1106">
        <f>I11-((I11*I14)+(I11*I15)+(I11*I16)+(I11*I17))</f>
        <v>25345382.954999998</v>
      </c>
      <c r="M18" s="1060">
        <f>SUM(Cdlac[Quantity])</f>
        <v>93</v>
      </c>
      <c r="O18" s="1079" t="s">
        <v>582</v>
      </c>
      <c r="P18" s="1039">
        <f>MATCH(Application!T189,Application!CB160:CB217,0)</f>
        <v>19</v>
      </c>
      <c r="T18" s="1060">
        <f>SUM(Cdlac[Population])</f>
        <v>93</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41</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41</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5</v>
      </c>
      <c r="N21" s="1066">
        <f>Application!AC727</f>
        <v>0.3</v>
      </c>
      <c r="O21" s="1066">
        <f>IF(Cdlac[[#This Row],[Quantity]]&gt;0,IF(Cdlac[[#This Row],[Federal]],30%,IF(AND(OR(NOT($G$38),$G$38=""),$G$43),40%,Cdlac[[#This Row],[iAMI]])),"")</f>
        <v>0.3</v>
      </c>
      <c r="P21" s="1060" cm="1">
        <f t="array" ref="P21">IF(Cdlac[[#This Row],[Quantity]]&gt;0,INDEX(TcacRents,$P$18,Cdlac[[#This Row],[Bedrooms]]+1)*Cdlac[[#This Row],[AMI]],"")</f>
        <v>852</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1229</v>
      </c>
      <c r="T21" s="1039">
        <f>IF(Cdlac[[#This Row],[Quantity]]&gt;0,AND(Application!AK727&lt;&gt;"N/A",Application!AK727&lt;&gt;"")*Cdlac[[#This Row],[Quantity]],"")</f>
        <v>5</v>
      </c>
      <c r="U21" s="1039" t="b">
        <f>AND('Subsidy Contract Calculation'!F5&gt;0,OR('Subsidy Contract Calculation'!C5="Federal",'Subsidy Contract Calculation'!C5="Local - Approved by ED"),Cdlac[[#This Row],[Quantity]]&gt;0)</f>
        <v>1</v>
      </c>
    </row>
    <row r="22" spans="1:21" ht="15" customHeight="1">
      <c r="A22" s="1044"/>
      <c r="C22" s="2663" t="s">
        <v>1958</v>
      </c>
      <c r="D22" s="2663" t="s">
        <v>1959</v>
      </c>
      <c r="E22" s="2663" t="s">
        <v>1960</v>
      </c>
      <c r="F22" s="2663" t="s">
        <v>2532</v>
      </c>
      <c r="G22" s="2663" t="s">
        <v>1957</v>
      </c>
      <c r="H22" s="1065"/>
      <c r="I22" s="1064"/>
      <c r="L22" s="1039">
        <f>IFERROR(MIN(4,MATCH(Application!B728,UnitSizes,0)-1),"")</f>
        <v>1</v>
      </c>
      <c r="M22" s="1060">
        <f>Application!G728</f>
        <v>42</v>
      </c>
      <c r="N22" s="1066">
        <f>Application!AC728</f>
        <v>0.5</v>
      </c>
      <c r="O22" s="1066">
        <f>IF(Cdlac[[#This Row],[Quantity]]&gt;0,IF(Cdlac[[#This Row],[Federal]],30%,IF(AND(OR(NOT($G$38),$G$38=""),$G$43),40%,Cdlac[[#This Row],[iAMI]])),"")</f>
        <v>0.3</v>
      </c>
      <c r="P22" s="1060" cm="1">
        <f t="array" ref="P22">IF(Cdlac[[#This Row],[Quantity]]&gt;0,INDEX(TcacRents,$P$18,Cdlac[[#This Row],[Bedrooms]]+1)*Cdlac[[#This Row],[AMI]],"")</f>
        <v>852</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1229</v>
      </c>
      <c r="T22" s="1039">
        <f>IF(Cdlac[[#This Row],[Quantity]]&gt;0,AND(Application!AK728&lt;&gt;"N/A",Application!AK728&lt;&gt;"")*Cdlac[[#This Row],[Quantity]],"")</f>
        <v>42</v>
      </c>
      <c r="U22" s="1039" t="b">
        <f>AND('Subsidy Contract Calculation'!F6&gt;0,OR('Subsidy Contract Calculation'!C6="Federal",'Subsidy Contract Calculation'!C6="Local - Approved by ED"),Cdlac[[#This Row],[Quantity]]&gt;0)</f>
        <v>1</v>
      </c>
    </row>
    <row r="23" spans="1:21" ht="15" customHeight="1">
      <c r="A23" s="1044"/>
      <c r="C23" s="2664"/>
      <c r="D23" s="2664"/>
      <c r="E23" s="2664"/>
      <c r="F23" s="2664"/>
      <c r="G23" s="2664"/>
      <c r="H23" s="1065"/>
      <c r="I23" s="1064"/>
      <c r="L23" s="1039">
        <f>IFERROR(MIN(4,MATCH(Application!B729,UnitSizes,0)-1),"")</f>
        <v>2</v>
      </c>
      <c r="M23" s="1060">
        <f>Application!G729</f>
        <v>1</v>
      </c>
      <c r="N23" s="1066">
        <f>Application!AC729</f>
        <v>0.3</v>
      </c>
      <c r="O23" s="1066">
        <f>IF(Cdlac[[#This Row],[Quantity]]&gt;0,IF(Cdlac[[#This Row],[Federal]],30%,IF(AND(OR(NOT($G$38),$G$38=""),$G$43),40%,Cdlac[[#This Row],[iAMI]])),"")</f>
        <v>0.3</v>
      </c>
      <c r="P23" s="1060" cm="1">
        <f t="array" ref="P23">IF(Cdlac[[#This Row],[Quantity]]&gt;0,INDEX(TcacRents,$P$18,Cdlac[[#This Row],[Bedrooms]]+1)*Cdlac[[#This Row],[AMI]],"")</f>
        <v>1021.8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1603.2</v>
      </c>
      <c r="T23" s="1039">
        <f>IF(Cdlac[[#This Row],[Quantity]]&gt;0,AND(Application!AK729&lt;&gt;"N/A",Application!AK729&lt;&gt;"")*Cdlac[[#This Row],[Quantity]],"")</f>
        <v>1</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41</v>
      </c>
      <c r="F24" s="1067">
        <f>E24</f>
        <v>41</v>
      </c>
      <c r="G24" s="1067">
        <f>D24*F24</f>
        <v>36.9</v>
      </c>
      <c r="L24" s="1039">
        <f>IFERROR(MIN(4,MATCH(Application!B730,UnitSizes,0)-1),"")</f>
        <v>2</v>
      </c>
      <c r="M24" s="1060">
        <f>Application!G730</f>
        <v>4</v>
      </c>
      <c r="N24" s="1066">
        <f>Application!AC730</f>
        <v>0.5</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4</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47</v>
      </c>
      <c r="F25" s="1067">
        <f>E25</f>
        <v>47</v>
      </c>
      <c r="G25" s="1067">
        <f>D25*F25</f>
        <v>47</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5</v>
      </c>
      <c r="F26" s="1070">
        <f>SUM(E26:E28)-SUM(F27:F28)</f>
        <v>5</v>
      </c>
      <c r="G26" s="1067">
        <f>D26*F26</f>
        <v>6.25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93" t="s">
        <v>1574</v>
      </c>
      <c r="D29" s="2694"/>
      <c r="E29" s="1084">
        <f>SUM(E24:E28)</f>
        <v>93</v>
      </c>
      <c r="F29" s="1084">
        <f>SUM(F24:F28)</f>
        <v>93</v>
      </c>
      <c r="G29" s="1085">
        <f>SUMPRODUCT(D24:D28,F24:F28)</f>
        <v>90.15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90.15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4507500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96" t="str">
        <f>IF(AND(G37,G38,G38&lt;&gt;""),"Enter the average rent charged for each unit type over the last three years, as documented with rent rolls or property audits, in cells Q20:Q44","")</f>
        <v/>
      </c>
      <c r="D39" s="2696"/>
      <c r="E39" s="2696"/>
      <c r="F39" s="2696"/>
      <c r="G39" s="2696"/>
      <c r="H39" s="2696"/>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96"/>
      <c r="D40" s="2696"/>
      <c r="E40" s="2696"/>
      <c r="F40" s="2696"/>
      <c r="G40" s="2696"/>
      <c r="H40" s="2696"/>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96"/>
      <c r="D41" s="2696"/>
      <c r="E41" s="2696"/>
      <c r="F41" s="2696"/>
      <c r="G41" s="2696"/>
      <c r="H41" s="2696"/>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109280</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19670400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47</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46</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46</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920000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93</v>
      </c>
    </row>
    <row r="61" spans="2:21" ht="15" customHeight="1">
      <c r="E61" s="1111" t="s">
        <v>1966</v>
      </c>
      <c r="G61" s="1108">
        <f>ROUNDDOWN(E29*50%,0)</f>
        <v>46</v>
      </c>
    </row>
    <row r="62" spans="2:21" ht="15" customHeight="1">
      <c r="E62" s="1111"/>
      <c r="G62" s="1119"/>
    </row>
    <row r="63" spans="2:21" ht="15" customHeight="1">
      <c r="E63" s="1111" t="s">
        <v>1926</v>
      </c>
      <c r="G63" s="1108">
        <f>MIN(G60:G61)</f>
        <v>46</v>
      </c>
    </row>
    <row r="64" spans="2:21" ht="15" customHeight="1">
      <c r="E64" s="1111" t="s">
        <v>1916</v>
      </c>
      <c r="F64" s="1107" t="s">
        <v>1964</v>
      </c>
      <c r="G64" s="1118">
        <v>10000</v>
      </c>
    </row>
    <row r="65" spans="5:7" ht="15" customHeight="1">
      <c r="E65" s="1112" t="s">
        <v>1949</v>
      </c>
      <c r="F65" s="1041"/>
      <c r="G65" s="1117">
        <f>G63*G64</f>
        <v>460000</v>
      </c>
    </row>
    <row r="66" spans="5:7" ht="15" customHeight="1">
      <c r="E66" s="1112"/>
      <c r="F66" s="1041"/>
      <c r="G66" s="1117"/>
    </row>
    <row r="67" spans="5:7" ht="15" customHeight="1">
      <c r="E67" s="1079" t="s">
        <v>2571</v>
      </c>
      <c r="G67" s="1039" t="b">
        <f>Application!V227="Yes"</f>
        <v>1</v>
      </c>
    </row>
    <row r="68" spans="5:7" ht="15" customHeight="1">
      <c r="E68" s="1079" t="s">
        <v>2572</v>
      </c>
      <c r="G68" s="1202">
        <f>SUMIF(Application!AK726:AK760,"Homeless",Application!G726:G760)</f>
        <v>93</v>
      </c>
    </row>
    <row r="69" spans="5:7" ht="15" customHeight="1">
      <c r="E69" s="1079"/>
    </row>
    <row r="70" spans="5:7" ht="15" customHeight="1">
      <c r="E70" s="1079" t="s">
        <v>2573</v>
      </c>
      <c r="G70" s="1203">
        <v>52</v>
      </c>
    </row>
    <row r="71" spans="5:7" ht="15" customHeight="1">
      <c r="E71" s="1079" t="s">
        <v>2574</v>
      </c>
      <c r="G71" s="1203">
        <v>54472</v>
      </c>
    </row>
    <row r="72" spans="5:7" ht="15" customHeight="1">
      <c r="E72" s="1079" t="s">
        <v>2575</v>
      </c>
      <c r="G72" s="1202">
        <f>IF(G71=0,0,(G70/G71)*100000)</f>
        <v>95.461888676751357</v>
      </c>
    </row>
    <row r="73" spans="5:7" ht="15" customHeight="1">
      <c r="E73" s="1079" t="s">
        <v>2576</v>
      </c>
      <c r="G73" s="1203">
        <v>72195</v>
      </c>
    </row>
    <row r="74" spans="5:7" ht="15" customHeight="1">
      <c r="E74" s="1079" t="s">
        <v>2577</v>
      </c>
      <c r="G74" s="1203">
        <v>9757179</v>
      </c>
    </row>
    <row r="75" spans="5:7" ht="15" customHeight="1">
      <c r="E75" s="1079" t="s">
        <v>2578</v>
      </c>
      <c r="G75" s="1202">
        <f>IF(G74=0,0,(G73/G74)*100000)</f>
        <v>739.91673208004079</v>
      </c>
    </row>
    <row r="76" spans="5:7" ht="15" customHeight="1">
      <c r="E76" s="1112"/>
      <c r="F76" s="1041"/>
      <c r="G76" s="1117"/>
    </row>
    <row r="77" spans="5:7" ht="15" customHeight="1">
      <c r="E77" s="1111" t="s">
        <v>1926</v>
      </c>
      <c r="G77" s="1108">
        <f>IF(OR(G75&gt;G72,G71&lt;100000),G75*G68,G72*G68)</f>
        <v>68812.25608344379</v>
      </c>
    </row>
    <row r="78" spans="5:7" ht="15" customHeight="1">
      <c r="E78" s="1111" t="s">
        <v>1916</v>
      </c>
      <c r="F78" s="1107" t="s">
        <v>1964</v>
      </c>
      <c r="G78" s="1118">
        <v>100</v>
      </c>
    </row>
    <row r="79" spans="5:7" ht="15" customHeight="1">
      <c r="E79" s="1112" t="s">
        <v>1949</v>
      </c>
      <c r="F79" s="1041"/>
      <c r="G79" s="1117">
        <f>G77*G78</f>
        <v>6881225.6083443789</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545</v>
      </c>
      <c r="L83" s="2665" t="s">
        <v>1941</v>
      </c>
      <c r="M83" s="2666"/>
      <c r="N83" s="1125">
        <v>30000</v>
      </c>
    </row>
    <row r="84" spans="2:14" ht="15" customHeight="1">
      <c r="C84" s="1072" t="s">
        <v>1953</v>
      </c>
      <c r="G84" s="1076" t="str">
        <f>IF(Application!D211="Large Family","Yes","No")</f>
        <v>No</v>
      </c>
      <c r="L84" s="2669" t="s">
        <v>1909</v>
      </c>
      <c r="M84" s="2670"/>
      <c r="N84" s="1126">
        <v>20000</v>
      </c>
    </row>
    <row r="85" spans="2:14" ht="15" customHeight="1" thickBot="1">
      <c r="C85" s="1072" t="s">
        <v>1939</v>
      </c>
      <c r="G85" s="1038" t="s">
        <v>545</v>
      </c>
      <c r="L85" s="2671" t="s">
        <v>1942</v>
      </c>
      <c r="M85" s="2672"/>
      <c r="N85" s="1127">
        <v>10000</v>
      </c>
    </row>
    <row r="86" spans="2:14" ht="15" customHeight="1" thickBot="1">
      <c r="C86" s="1072" t="s">
        <v>1940</v>
      </c>
      <c r="G86" s="1039" t="str">
        <f>Application!T193</f>
        <v>Highest Resource</v>
      </c>
    </row>
    <row r="87" spans="2:14" ht="15" customHeight="1">
      <c r="C87" s="2699" t="s">
        <v>2207</v>
      </c>
      <c r="D87" s="2699"/>
      <c r="E87" s="2699"/>
      <c r="F87" s="2699"/>
      <c r="G87" s="1038" t="s">
        <v>669</v>
      </c>
      <c r="L87" s="1121" t="str">
        <f>'Points System'!H651</f>
        <v>(i)</v>
      </c>
      <c r="M87" s="2667" t="s">
        <v>1396</v>
      </c>
      <c r="N87" s="2668"/>
    </row>
    <row r="88" spans="2:14" ht="15" customHeight="1">
      <c r="C88" s="2699"/>
      <c r="D88" s="2699"/>
      <c r="E88" s="2699"/>
      <c r="F88" s="2699"/>
      <c r="L88" s="1122" t="str">
        <f>'Points System'!H663</f>
        <v>N/A</v>
      </c>
      <c r="M88" s="2659" t="s">
        <v>1928</v>
      </c>
      <c r="N88" s="2660"/>
    </row>
    <row r="89" spans="2:14" ht="15" customHeight="1">
      <c r="C89" s="1072"/>
      <c r="L89" s="1122" t="str">
        <f>'Points System'!H698</f>
        <v>(ii)</v>
      </c>
      <c r="M89" s="2659" t="s">
        <v>1929</v>
      </c>
      <c r="N89" s="2660"/>
    </row>
    <row r="90" spans="2:14" ht="15" customHeight="1">
      <c r="E90" s="1079" t="s">
        <v>1971</v>
      </c>
      <c r="G90" s="1074" t="b">
        <f>OR(AND(COUNTIFS(G84:G85,"Yes")&gt;=1,G83="Yes"),G87="Yes")</f>
        <v>1</v>
      </c>
      <c r="L90" s="1122" t="str">
        <f>IF(OR('Points System'!H722="(ii)",'Points System'!H722="(i)"),"(i)","N/A")</f>
        <v>N/A</v>
      </c>
      <c r="M90" s="2659" t="s">
        <v>1930</v>
      </c>
      <c r="N90" s="2660"/>
    </row>
    <row r="91" spans="2:14" ht="15" customHeight="1">
      <c r="E91" s="1079"/>
      <c r="G91" s="1074"/>
      <c r="L91" s="1123" t="str">
        <f>'Points System'!H736</f>
        <v>N/A</v>
      </c>
      <c r="M91" s="2659" t="s">
        <v>1422</v>
      </c>
      <c r="N91" s="2660"/>
    </row>
    <row r="92" spans="2:14" ht="15" customHeight="1">
      <c r="E92" s="1079" t="s">
        <v>1916</v>
      </c>
      <c r="G92" s="1073">
        <f>IFERROR(IF($G$87="Yes",30000,INDEX(N83:N85,MATCH(LEFT(G86,17),L83:L85,0))),0)</f>
        <v>30000</v>
      </c>
      <c r="L92" s="1122" t="str">
        <f>'Points System'!H748</f>
        <v>N/A</v>
      </c>
      <c r="M92" s="2659" t="s">
        <v>1931</v>
      </c>
      <c r="N92" s="2660"/>
    </row>
    <row r="93" spans="2:14" ht="15" customHeight="1">
      <c r="E93" s="1079" t="str">
        <f>E110</f>
        <v>Bedroom-Adjusted Low-Income Units</v>
      </c>
      <c r="F93" s="1107" t="s">
        <v>1964</v>
      </c>
      <c r="G93" s="1108">
        <f>G29</f>
        <v>90.15</v>
      </c>
      <c r="L93" s="1122" t="str">
        <f>'Points System'!H764</f>
        <v>N/A</v>
      </c>
      <c r="M93" s="2659" t="s">
        <v>1932</v>
      </c>
      <c r="N93" s="2660"/>
    </row>
    <row r="94" spans="2:14" ht="15" customHeight="1" thickBot="1">
      <c r="D94" s="1041"/>
      <c r="E94" s="1112" t="s">
        <v>2210</v>
      </c>
      <c r="F94" s="1041"/>
      <c r="G94" s="1117">
        <f>G93*G92*G90</f>
        <v>2704500</v>
      </c>
      <c r="L94" s="1124" t="str">
        <f>'Points System'!H776</f>
        <v>(ii)</v>
      </c>
      <c r="M94" s="2661" t="s">
        <v>1425</v>
      </c>
      <c r="N94" s="266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669</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90.15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90.15</v>
      </c>
    </row>
    <row r="111" spans="2:9" ht="15" customHeight="1">
      <c r="E111" s="1112" t="s">
        <v>1933</v>
      </c>
      <c r="F111" s="1041"/>
      <c r="G111" s="1117">
        <f>G108*G109*G110</f>
        <v>2524200</v>
      </c>
    </row>
    <row r="112" spans="2:9" ht="15" customHeight="1">
      <c r="C112" s="1072"/>
      <c r="G112" s="1108"/>
    </row>
    <row r="113" spans="2:7" ht="15" customHeight="1">
      <c r="E113" s="1079" t="s">
        <v>1969</v>
      </c>
      <c r="G113" s="1108">
        <f>COUNTIFS(L87:L94,"(i)")</f>
        <v>1</v>
      </c>
    </row>
    <row r="114" spans="2:7" ht="15" customHeight="1">
      <c r="E114" s="1079" t="s">
        <v>1916</v>
      </c>
      <c r="F114" s="1107" t="s">
        <v>1964</v>
      </c>
      <c r="G114" s="1118">
        <v>4000</v>
      </c>
    </row>
    <row r="115" spans="2:7" ht="15" customHeight="1">
      <c r="E115" s="1112" t="s">
        <v>1934</v>
      </c>
      <c r="F115" s="1041"/>
      <c r="G115" s="1117">
        <f>G110*G113*G114</f>
        <v>360600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545</v>
      </c>
    </row>
    <row r="121" spans="2:7">
      <c r="C121" s="1072" t="s">
        <v>2094</v>
      </c>
      <c r="G121" s="1038"/>
    </row>
    <row r="123" spans="2:7">
      <c r="B123" s="1073"/>
      <c r="C123" s="1072"/>
      <c r="E123" s="1079" t="s">
        <v>1971</v>
      </c>
      <c r="G123" s="1074" t="b">
        <f>COUNTIFS(G118:G121,"Yes")&gt;=1</f>
        <v>1</v>
      </c>
    </row>
    <row r="124" spans="2:7">
      <c r="E124" s="1072"/>
    </row>
    <row r="125" spans="2:7" ht="14.4">
      <c r="E125" s="1079" t="s">
        <v>1968</v>
      </c>
      <c r="F125" s="1107" t="s">
        <v>1964</v>
      </c>
      <c r="G125" s="1108">
        <f>G29</f>
        <v>90.15</v>
      </c>
    </row>
    <row r="126" spans="2:7" ht="14.4">
      <c r="E126" s="1079" t="s">
        <v>1916</v>
      </c>
      <c r="F126" s="1107" t="s">
        <v>1964</v>
      </c>
      <c r="G126" s="1118">
        <v>25000</v>
      </c>
    </row>
    <row r="127" spans="2:7">
      <c r="E127" s="1112" t="s">
        <v>1935</v>
      </c>
      <c r="F127" s="1041"/>
      <c r="G127" s="1117">
        <f>G123*G126*G110</f>
        <v>2253750</v>
      </c>
    </row>
    <row r="128" spans="2:7">
      <c r="C128" s="1072"/>
      <c r="E128" s="1072"/>
    </row>
    <row r="129" spans="2:9">
      <c r="E129" s="1112" t="s">
        <v>2212</v>
      </c>
      <c r="G129" s="1117">
        <f>G127+G115+G111</f>
        <v>5138550</v>
      </c>
    </row>
    <row r="131" spans="2:9">
      <c r="B131" s="1061" t="s">
        <v>139</v>
      </c>
      <c r="C131" s="1062"/>
      <c r="D131" s="1062"/>
      <c r="E131" s="1062"/>
      <c r="F131" s="1062"/>
      <c r="G131" s="1062"/>
      <c r="H131" s="1062"/>
      <c r="I131" s="1063"/>
    </row>
    <row r="133" spans="2:9">
      <c r="C133" s="2695" t="s">
        <v>2179</v>
      </c>
      <c r="D133" s="2695"/>
      <c r="E133" s="2695"/>
      <c r="F133" s="2695"/>
    </row>
    <row r="134" spans="2:9">
      <c r="C134" s="2695"/>
      <c r="D134" s="2695"/>
      <c r="E134" s="2695"/>
      <c r="F134" s="2695"/>
      <c r="G134" s="1038" t="s">
        <v>545</v>
      </c>
    </row>
    <row r="135" spans="2:9" ht="14.25" customHeight="1"/>
    <row r="136" spans="2:9">
      <c r="C136" s="1039" t="s">
        <v>2181</v>
      </c>
      <c r="G136" s="2697" t="s">
        <v>2760</v>
      </c>
      <c r="H136" s="2697"/>
    </row>
    <row r="137" spans="2:9">
      <c r="G137" s="2697"/>
      <c r="H137" s="2697"/>
    </row>
    <row r="138" spans="2:9">
      <c r="G138" s="2698"/>
      <c r="H138" s="2698"/>
    </row>
    <row r="140" spans="2:9">
      <c r="C140" s="2695" t="s">
        <v>2586</v>
      </c>
      <c r="D140" s="2695"/>
      <c r="E140" s="2695"/>
      <c r="F140" s="2695"/>
    </row>
    <row r="141" spans="2:9">
      <c r="C141" s="2695"/>
      <c r="D141" s="2695"/>
      <c r="E141" s="2695"/>
      <c r="F141" s="2695"/>
      <c r="G141" s="1038"/>
    </row>
    <row r="142" spans="2:9">
      <c r="C142" s="2695"/>
      <c r="D142" s="2695"/>
      <c r="E142" s="2695"/>
      <c r="F142" s="2695"/>
    </row>
    <row r="144" spans="2:9">
      <c r="C144" s="2695" t="s">
        <v>2585</v>
      </c>
      <c r="D144" s="2695"/>
      <c r="E144" s="2695"/>
      <c r="F144" s="2695"/>
    </row>
    <row r="145" spans="2:9">
      <c r="C145" s="2695"/>
      <c r="D145" s="2695"/>
      <c r="E145" s="2695"/>
      <c r="F145" s="2695"/>
      <c r="G145" s="1038"/>
    </row>
    <row r="146" spans="2:9">
      <c r="C146" s="2695"/>
      <c r="D146" s="2695"/>
      <c r="E146" s="2695"/>
      <c r="F146" s="2695"/>
    </row>
    <row r="147" spans="2:9">
      <c r="C147" s="2695"/>
      <c r="D147" s="2695"/>
      <c r="E147" s="2695"/>
      <c r="F147" s="2695"/>
    </row>
    <row r="149" spans="2:9">
      <c r="B149" s="1061" t="s">
        <v>1973</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c r="D155" s="1041"/>
      <c r="E155" s="1112" t="s">
        <v>1974</v>
      </c>
      <c r="F155" s="1128"/>
      <c r="G155" s="1129">
        <f>((G153-G154)/G154)*0.25</f>
        <v>2.1785714285714287E-2</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92" t="s">
        <v>2214</v>
      </c>
      <c r="D160" s="2692"/>
      <c r="E160" s="2692"/>
      <c r="F160" s="2692"/>
    </row>
    <row r="161" spans="2:7">
      <c r="B161" s="1040"/>
      <c r="C161" s="2692"/>
      <c r="D161" s="2692"/>
      <c r="E161" s="2692"/>
      <c r="F161" s="2692"/>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2463342.75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70" zoomScaleNormal="70" workbookViewId="0">
      <selection sqref="A1:J1"/>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700" t="s">
        <v>909</v>
      </c>
      <c r="B1" s="2700"/>
      <c r="C1" s="2700"/>
      <c r="D1" s="2700"/>
      <c r="E1" s="2700"/>
      <c r="F1" s="2700"/>
      <c r="G1" s="2700"/>
      <c r="H1" s="2700"/>
      <c r="I1" s="2700"/>
      <c r="J1" s="2700"/>
      <c r="K1" s="204"/>
      <c r="L1" s="204"/>
    </row>
    <row r="2" spans="1:12">
      <c r="A2" s="210"/>
      <c r="B2" s="210"/>
      <c r="C2" s="210"/>
      <c r="D2" s="210"/>
      <c r="E2" s="210"/>
      <c r="F2" s="210"/>
      <c r="G2" s="210"/>
      <c r="H2" s="210"/>
      <c r="I2" s="210"/>
      <c r="J2" s="210"/>
    </row>
    <row r="3" spans="1:12" ht="97.2">
      <c r="A3" s="426" t="s">
        <v>910</v>
      </c>
      <c r="B3" s="426" t="s">
        <v>2200</v>
      </c>
      <c r="C3" s="426" t="s">
        <v>2201</v>
      </c>
      <c r="D3" s="1140" t="s">
        <v>2202</v>
      </c>
      <c r="E3" s="204"/>
      <c r="F3" s="1140" t="s">
        <v>911</v>
      </c>
      <c r="G3" s="426" t="s">
        <v>912</v>
      </c>
      <c r="H3" s="427"/>
      <c r="I3" s="426" t="s">
        <v>913</v>
      </c>
      <c r="J3" s="426" t="s">
        <v>914</v>
      </c>
      <c r="K3" s="204"/>
      <c r="L3" s="305"/>
    </row>
    <row r="4" spans="1:12">
      <c r="A4" s="428" t="str">
        <f>Application!B726</f>
        <v>SRO/Studio</v>
      </c>
      <c r="B4" s="1077">
        <f>Application!G726</f>
        <v>41</v>
      </c>
      <c r="C4" s="1155" t="s">
        <v>2749</v>
      </c>
      <c r="D4" s="428">
        <f>Application!O726</f>
        <v>795</v>
      </c>
      <c r="E4" s="429"/>
      <c r="F4" s="1078">
        <v>1840</v>
      </c>
      <c r="G4" s="428">
        <f>F4*B4</f>
        <v>75440</v>
      </c>
      <c r="H4" s="429"/>
      <c r="I4" s="428">
        <f t="shared" ref="I4:I27" si="0">IF(F4=0,"",(F4-D4))</f>
        <v>1045</v>
      </c>
      <c r="J4" s="428">
        <f t="shared" ref="J4:J27" si="1">IF(F4=0,"",(I4*B4))</f>
        <v>42845</v>
      </c>
      <c r="K4" s="204"/>
      <c r="L4" s="305"/>
    </row>
    <row r="5" spans="1:12">
      <c r="A5" s="428" t="str">
        <f>Application!B727</f>
        <v>1 Bedroom</v>
      </c>
      <c r="B5" s="1077">
        <f>Application!G727</f>
        <v>5</v>
      </c>
      <c r="C5" s="1155" t="s">
        <v>2749</v>
      </c>
      <c r="D5" s="428">
        <f>Application!O727</f>
        <v>852</v>
      </c>
      <c r="E5" s="429"/>
      <c r="F5" s="1078">
        <v>2096</v>
      </c>
      <c r="G5" s="428">
        <f t="shared" ref="G5:G38" si="2">F5*B5</f>
        <v>10480</v>
      </c>
      <c r="H5" s="429"/>
      <c r="I5" s="428">
        <f t="shared" si="0"/>
        <v>1244</v>
      </c>
      <c r="J5" s="428">
        <f t="shared" si="1"/>
        <v>6220</v>
      </c>
      <c r="K5" s="204"/>
      <c r="L5" s="305"/>
    </row>
    <row r="6" spans="1:12">
      <c r="A6" s="428" t="str">
        <f>Application!B728</f>
        <v>1 Bedroom</v>
      </c>
      <c r="B6" s="1077">
        <f>Application!G728</f>
        <v>42</v>
      </c>
      <c r="C6" s="1155" t="s">
        <v>2749</v>
      </c>
      <c r="D6" s="428">
        <f>Application!O728</f>
        <v>852</v>
      </c>
      <c r="E6" s="429"/>
      <c r="F6" s="1078">
        <v>2096</v>
      </c>
      <c r="G6" s="428">
        <f t="shared" si="2"/>
        <v>88032</v>
      </c>
      <c r="H6" s="429"/>
      <c r="I6" s="428">
        <f t="shared" si="0"/>
        <v>1244</v>
      </c>
      <c r="J6" s="428">
        <f t="shared" si="1"/>
        <v>52248</v>
      </c>
      <c r="K6" s="204"/>
      <c r="L6" s="305"/>
    </row>
    <row r="7" spans="1:12">
      <c r="A7" s="428" t="str">
        <f>Application!B729</f>
        <v>2 Bedrooms</v>
      </c>
      <c r="B7" s="1077">
        <f>Application!G729</f>
        <v>1</v>
      </c>
      <c r="C7" s="1155" t="s">
        <v>2749</v>
      </c>
      <c r="D7" s="428">
        <f>Application!O729</f>
        <v>1022</v>
      </c>
      <c r="E7" s="429"/>
      <c r="F7" s="1078">
        <v>2666</v>
      </c>
      <c r="G7" s="428">
        <f t="shared" si="2"/>
        <v>2666</v>
      </c>
      <c r="H7" s="429"/>
      <c r="I7" s="428">
        <f t="shared" si="0"/>
        <v>1644</v>
      </c>
      <c r="J7" s="428">
        <f t="shared" si="1"/>
        <v>1644</v>
      </c>
      <c r="K7" s="204"/>
      <c r="L7" s="305"/>
    </row>
    <row r="8" spans="1:12">
      <c r="A8" s="428" t="str">
        <f>Application!B730</f>
        <v>2 Bedrooms</v>
      </c>
      <c r="B8" s="1077">
        <f>Application!G730</f>
        <v>4</v>
      </c>
      <c r="C8" s="1155" t="s">
        <v>2749</v>
      </c>
      <c r="D8" s="428">
        <f>Application!O730</f>
        <v>1022</v>
      </c>
      <c r="E8" s="429"/>
      <c r="F8" s="1078">
        <v>2666</v>
      </c>
      <c r="G8" s="428">
        <f t="shared" si="2"/>
        <v>10664</v>
      </c>
      <c r="H8" s="429"/>
      <c r="I8" s="428">
        <f t="shared" si="0"/>
        <v>1644</v>
      </c>
      <c r="J8" s="428">
        <f t="shared" si="1"/>
        <v>6576</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77749</v>
      </c>
      <c r="E40" s="429"/>
      <c r="F40" s="429"/>
      <c r="G40" s="432">
        <f>SUM(G4:G38)*12</f>
        <v>2247384</v>
      </c>
      <c r="H40" s="433"/>
      <c r="I40" s="431"/>
      <c r="J40" s="432">
        <f>SUM(J4:J38)*12</f>
        <v>1314396</v>
      </c>
      <c r="K40" s="204"/>
      <c r="L40" s="306"/>
    </row>
    <row r="41" spans="1:12">
      <c r="A41" s="430"/>
      <c r="B41" s="431"/>
      <c r="C41" s="431"/>
      <c r="D41" s="433"/>
      <c r="E41" s="429"/>
      <c r="F41" s="429"/>
      <c r="G41" s="433"/>
      <c r="H41" s="433"/>
      <c r="I41" s="431"/>
      <c r="J41" s="433"/>
      <c r="K41" s="204"/>
      <c r="L41" s="306"/>
    </row>
    <row r="42" spans="1:12">
      <c r="A42" s="304" t="s">
        <v>2203</v>
      </c>
    </row>
    <row r="43" spans="1:12">
      <c r="A43" s="2701" t="s">
        <v>2424</v>
      </c>
      <c r="B43" s="2701"/>
      <c r="C43" s="2701"/>
      <c r="D43" s="2701"/>
      <c r="E43" s="2701"/>
      <c r="F43" s="2701"/>
      <c r="G43" s="2701"/>
      <c r="H43" s="2701"/>
      <c r="I43" s="2701"/>
      <c r="J43" s="2701"/>
    </row>
    <row r="44" spans="1:12">
      <c r="A44" s="2701"/>
      <c r="B44" s="2701"/>
      <c r="C44" s="2701"/>
      <c r="D44" s="2701"/>
      <c r="E44" s="2701"/>
      <c r="F44" s="2701"/>
      <c r="G44" s="2701"/>
      <c r="H44" s="2701"/>
      <c r="I44" s="2701"/>
      <c r="J44" s="2701"/>
    </row>
    <row r="45" spans="1:12">
      <c r="A45" s="2701" t="s">
        <v>2204</v>
      </c>
      <c r="B45" s="2701"/>
      <c r="C45" s="2701"/>
      <c r="D45" s="2701"/>
      <c r="E45" s="2701"/>
      <c r="F45" s="2701"/>
      <c r="G45" s="2701"/>
      <c r="H45" s="2701"/>
      <c r="I45" s="2701"/>
      <c r="J45" s="2701"/>
    </row>
    <row r="46" spans="1:12">
      <c r="A46" s="2701"/>
      <c r="B46" s="2701"/>
      <c r="C46" s="2701"/>
      <c r="D46" s="2701"/>
      <c r="E46" s="2701"/>
      <c r="F46" s="2701"/>
      <c r="G46" s="2701"/>
      <c r="H46" s="2701"/>
      <c r="I46" s="2701"/>
      <c r="J46" s="270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0" zoomScaleNormal="90" workbookViewId="0"/>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2047</v>
      </c>
      <c r="B1" s="211"/>
    </row>
    <row r="2" spans="1:34"/>
    <row r="3" spans="1:34" ht="15.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3.8">
      <c r="A4" s="219" t="s">
        <v>837</v>
      </c>
      <c r="C4" s="237">
        <v>1.0249999999999999</v>
      </c>
      <c r="E4" s="219">
        <f>Application!Y809</f>
        <v>932988</v>
      </c>
      <c r="G4" s="219">
        <f>E4*$C$4</f>
        <v>956312.7</v>
      </c>
      <c r="I4" s="219">
        <f>G4*$C$4</f>
        <v>980220.51749999984</v>
      </c>
      <c r="K4" s="219">
        <f>I4*$C$4</f>
        <v>1004726.0304374998</v>
      </c>
      <c r="M4" s="219">
        <f>K4*$C$4</f>
        <v>1029844.1811984371</v>
      </c>
      <c r="O4" s="219">
        <f>M4*$C$4</f>
        <v>1055590.285728398</v>
      </c>
      <c r="Q4" s="219">
        <f>O4*$C$4</f>
        <v>1081980.0428716079</v>
      </c>
      <c r="S4" s="219">
        <f>Q4*$C$4</f>
        <v>1109029.5439433979</v>
      </c>
      <c r="U4" s="219">
        <f>S4*$C$4</f>
        <v>1136755.2825419828</v>
      </c>
      <c r="W4" s="219">
        <f>U4*$C$4</f>
        <v>1165174.1646055323</v>
      </c>
      <c r="Y4" s="219">
        <f>W4*$C$4</f>
        <v>1194303.5187206706</v>
      </c>
      <c r="AA4" s="219">
        <f>Y4*$C$4</f>
        <v>1224161.1066886873</v>
      </c>
      <c r="AC4" s="219">
        <f>AA4*$C$4</f>
        <v>1254765.1343559045</v>
      </c>
      <c r="AE4" s="219">
        <f>AC4*$C$4</f>
        <v>1286134.2627148021</v>
      </c>
      <c r="AG4" s="219">
        <f>AE4*$C$4</f>
        <v>1318287.6192826719</v>
      </c>
    </row>
    <row r="5" spans="1:34" s="210" customFormat="1" ht="13.8">
      <c r="B5" s="210" t="s">
        <v>838</v>
      </c>
      <c r="C5" s="238">
        <v>0.1</v>
      </c>
      <c r="E5" s="221">
        <f>-E4*$C$5</f>
        <v>-93298.8</v>
      </c>
      <c r="F5" s="221"/>
      <c r="G5" s="221">
        <f>-G4*$C$5</f>
        <v>-95631.27</v>
      </c>
      <c r="H5" s="221"/>
      <c r="I5" s="221">
        <f>-I4*$C$5</f>
        <v>-98022.051749999984</v>
      </c>
      <c r="J5" s="221"/>
      <c r="K5" s="221">
        <f>-K4*$C$5</f>
        <v>-100472.60304374999</v>
      </c>
      <c r="L5" s="221"/>
      <c r="M5" s="221">
        <f>-M4*$C$5</f>
        <v>-102984.41811984371</v>
      </c>
      <c r="N5" s="221"/>
      <c r="O5" s="221">
        <f>-O4*$C$5</f>
        <v>-105559.0285728398</v>
      </c>
      <c r="P5" s="221"/>
      <c r="Q5" s="221">
        <f>-Q4*$C$5</f>
        <v>-108198.0042871608</v>
      </c>
      <c r="R5" s="221"/>
      <c r="S5" s="221">
        <f>-S4*$C$5</f>
        <v>-110902.9543943398</v>
      </c>
      <c r="T5" s="221"/>
      <c r="U5" s="221">
        <f>-U4*$C$5</f>
        <v>-113675.52825419829</v>
      </c>
      <c r="V5" s="221"/>
      <c r="W5" s="221">
        <f>-W4*$C$5</f>
        <v>-116517.41646055324</v>
      </c>
      <c r="X5" s="221"/>
      <c r="Y5" s="221">
        <f>-Y4*$C$5</f>
        <v>-119430.35187206707</v>
      </c>
      <c r="Z5" s="221"/>
      <c r="AA5" s="221">
        <f>-AA4*$C$5</f>
        <v>-122416.11066886874</v>
      </c>
      <c r="AB5" s="221"/>
      <c r="AC5" s="221">
        <f>-AC4*$C$5</f>
        <v>-125476.51343559046</v>
      </c>
      <c r="AD5" s="221"/>
      <c r="AE5" s="221">
        <f>-AE4*$C$5</f>
        <v>-128613.42627148022</v>
      </c>
      <c r="AF5" s="221"/>
      <c r="AG5" s="221">
        <f>-AG4*$C$5</f>
        <v>-131828.76192826719</v>
      </c>
    </row>
    <row r="6" spans="1:34" s="210" customFormat="1" ht="13.8">
      <c r="A6" s="210" t="s">
        <v>836</v>
      </c>
      <c r="C6" s="237">
        <v>1.0249999999999999</v>
      </c>
      <c r="E6" s="222">
        <f>Application!Z817</f>
        <v>1314396</v>
      </c>
      <c r="F6" s="222"/>
      <c r="G6" s="222">
        <f>E6*$C$6</f>
        <v>1347255.9</v>
      </c>
      <c r="H6" s="222"/>
      <c r="I6" s="222">
        <f>G6*$C$6</f>
        <v>1380937.2974999999</v>
      </c>
      <c r="J6" s="222"/>
      <c r="K6" s="222">
        <f>I6*$C$6</f>
        <v>1415460.7299374999</v>
      </c>
      <c r="L6" s="222"/>
      <c r="M6" s="222">
        <f>K6*$C$6</f>
        <v>1450847.2481859373</v>
      </c>
      <c r="N6" s="222"/>
      <c r="O6" s="222">
        <f>M6*$C$6</f>
        <v>1487118.4293905855</v>
      </c>
      <c r="P6" s="222"/>
      <c r="Q6" s="222">
        <f>O6*$C$6</f>
        <v>1524296.3901253501</v>
      </c>
      <c r="R6" s="222"/>
      <c r="S6" s="222">
        <f>Q6*$C$6</f>
        <v>1562403.7998784836</v>
      </c>
      <c r="T6" s="222"/>
      <c r="U6" s="222">
        <f>S6*$C$6</f>
        <v>1601463.8948754456</v>
      </c>
      <c r="V6" s="222"/>
      <c r="W6" s="222">
        <f>U6*$C$6</f>
        <v>1641500.4922473317</v>
      </c>
      <c r="X6" s="222"/>
      <c r="Y6" s="222">
        <f>W6*$C$6</f>
        <v>1682538.0045535148</v>
      </c>
      <c r="Z6" s="222"/>
      <c r="AA6" s="222">
        <f>Y6*$C$6</f>
        <v>1724601.4546673524</v>
      </c>
      <c r="AB6" s="222"/>
      <c r="AC6" s="222">
        <f>AA6*$C$6</f>
        <v>1767716.491034036</v>
      </c>
      <c r="AD6" s="222"/>
      <c r="AE6" s="222">
        <f>AC6*$C$6</f>
        <v>1811909.4033098868</v>
      </c>
      <c r="AF6" s="222"/>
      <c r="AG6" s="222">
        <f>AE6*$C$6</f>
        <v>1857207.1383926338</v>
      </c>
    </row>
    <row r="7" spans="1:34" s="210" customFormat="1" ht="13.8">
      <c r="B7" s="210" t="s">
        <v>838</v>
      </c>
      <c r="C7" s="238">
        <v>0.1</v>
      </c>
      <c r="E7" s="221">
        <f>-E6*$C$7</f>
        <v>-131439.6</v>
      </c>
      <c r="F7" s="221"/>
      <c r="G7" s="221">
        <f>-G6*$C$7</f>
        <v>-134725.59</v>
      </c>
      <c r="H7" s="221"/>
      <c r="I7" s="221">
        <f>-I6*$C$7</f>
        <v>-138093.72975</v>
      </c>
      <c r="J7" s="221"/>
      <c r="K7" s="221">
        <f>-K6*$C$7</f>
        <v>-141546.07299374999</v>
      </c>
      <c r="L7" s="221"/>
      <c r="M7" s="221">
        <f>-M6*$C$7</f>
        <v>-145084.72481859374</v>
      </c>
      <c r="N7" s="221"/>
      <c r="O7" s="221">
        <f>-O6*$C$7</f>
        <v>-148711.84293905855</v>
      </c>
      <c r="P7" s="221"/>
      <c r="Q7" s="221">
        <f>-Q6*$C$7</f>
        <v>-152429.63901253502</v>
      </c>
      <c r="R7" s="221"/>
      <c r="S7" s="221">
        <f>-S6*$C$7</f>
        <v>-156240.37998784837</v>
      </c>
      <c r="T7" s="221"/>
      <c r="U7" s="221">
        <f>-U6*$C$7</f>
        <v>-160146.38948754457</v>
      </c>
      <c r="V7" s="221"/>
      <c r="W7" s="221">
        <f>-W6*$C$7</f>
        <v>-164150.04922473317</v>
      </c>
      <c r="X7" s="221"/>
      <c r="Y7" s="221">
        <f>-Y6*$C$7</f>
        <v>-168253.80045535148</v>
      </c>
      <c r="Z7" s="221"/>
      <c r="AA7" s="221">
        <f>-AA6*$C$7</f>
        <v>-172460.14546673524</v>
      </c>
      <c r="AB7" s="221"/>
      <c r="AC7" s="221">
        <f>-AC6*$C$7</f>
        <v>-176771.64910340362</v>
      </c>
      <c r="AD7" s="221"/>
      <c r="AE7" s="221">
        <f>-AE6*$C$7</f>
        <v>-181190.9403309887</v>
      </c>
      <c r="AF7" s="221"/>
      <c r="AG7" s="221">
        <f>-AG6*$C$7</f>
        <v>-185720.71383926339</v>
      </c>
    </row>
    <row r="8" spans="1:34" s="210" customFormat="1" ht="13.8">
      <c r="A8" s="210" t="s">
        <v>288</v>
      </c>
      <c r="C8" s="237">
        <v>1.0249999999999999</v>
      </c>
      <c r="E8" s="222">
        <f>Application!Z825</f>
        <v>7980</v>
      </c>
      <c r="F8" s="222"/>
      <c r="G8" s="222">
        <f>E8*$C$8</f>
        <v>8179.4999999999991</v>
      </c>
      <c r="H8" s="222"/>
      <c r="I8" s="222">
        <f>G8*$C$8</f>
        <v>8383.9874999999975</v>
      </c>
      <c r="J8" s="222"/>
      <c r="K8" s="222">
        <f>I8*$C$8</f>
        <v>8593.5871874999975</v>
      </c>
      <c r="L8" s="222"/>
      <c r="M8" s="222">
        <f>K8*$C$8</f>
        <v>8808.4268671874961</v>
      </c>
      <c r="N8" s="222"/>
      <c r="O8" s="222">
        <f>M8*$C$8</f>
        <v>9028.6375388671822</v>
      </c>
      <c r="P8" s="222"/>
      <c r="Q8" s="222">
        <f>O8*$C$8</f>
        <v>9254.3534773388601</v>
      </c>
      <c r="R8" s="222"/>
      <c r="S8" s="222">
        <f>Q8*$C$8</f>
        <v>9485.7123142723303</v>
      </c>
      <c r="T8" s="222"/>
      <c r="U8" s="222">
        <f>S8*$C$8</f>
        <v>9722.8551221291382</v>
      </c>
      <c r="V8" s="222"/>
      <c r="W8" s="222">
        <f>U8*$C$8</f>
        <v>9965.926500182366</v>
      </c>
      <c r="X8" s="222"/>
      <c r="Y8" s="222">
        <f>W8*$C$8</f>
        <v>10215.074662686924</v>
      </c>
      <c r="Z8" s="222"/>
      <c r="AA8" s="222">
        <f>Y8*$C$8</f>
        <v>10470.451529254096</v>
      </c>
      <c r="AB8" s="222"/>
      <c r="AC8" s="222">
        <f>AA8*$C$8</f>
        <v>10732.212817485448</v>
      </c>
      <c r="AD8" s="222"/>
      <c r="AE8" s="222">
        <f>AC8*$C$8</f>
        <v>11000.518137922583</v>
      </c>
      <c r="AF8" s="222"/>
      <c r="AG8" s="222">
        <f>AE8*$C$8</f>
        <v>11275.531091370647</v>
      </c>
    </row>
    <row r="9" spans="1:34" s="210" customFormat="1" ht="13.8">
      <c r="B9" s="210" t="s">
        <v>838</v>
      </c>
      <c r="C9" s="238">
        <v>0.1</v>
      </c>
      <c r="E9" s="221">
        <f>-E8*$C$9</f>
        <v>-798</v>
      </c>
      <c r="F9" s="221"/>
      <c r="G9" s="221">
        <f>-G8*$C$9</f>
        <v>-817.94999999999993</v>
      </c>
      <c r="H9" s="221"/>
      <c r="I9" s="221">
        <f>-I8*$C$9</f>
        <v>-838.39874999999984</v>
      </c>
      <c r="J9" s="221"/>
      <c r="K9" s="221">
        <f>-K8*$C$9</f>
        <v>-859.35871874999975</v>
      </c>
      <c r="L9" s="221"/>
      <c r="M9" s="221">
        <f>-M8*$C$9</f>
        <v>-880.84268671874963</v>
      </c>
      <c r="N9" s="221"/>
      <c r="O9" s="221">
        <f>-O8*$C$9</f>
        <v>-902.86375388671831</v>
      </c>
      <c r="P9" s="221"/>
      <c r="Q9" s="221">
        <f>-Q8*$C$9</f>
        <v>-925.43534773388603</v>
      </c>
      <c r="R9" s="221"/>
      <c r="S9" s="221">
        <f>-S8*$C$9</f>
        <v>-948.5712314272331</v>
      </c>
      <c r="T9" s="221"/>
      <c r="U9" s="221">
        <f>-U8*$C$9</f>
        <v>-972.28551221291389</v>
      </c>
      <c r="V9" s="221"/>
      <c r="W9" s="221">
        <f>-W8*$C$9</f>
        <v>-996.59265001823667</v>
      </c>
      <c r="X9" s="221"/>
      <c r="Y9" s="221">
        <f>-Y8*$C$9</f>
        <v>-1021.5074662686925</v>
      </c>
      <c r="Z9" s="221"/>
      <c r="AA9" s="221">
        <f>-AA8*$C$9</f>
        <v>-1047.0451529254096</v>
      </c>
      <c r="AB9" s="221"/>
      <c r="AC9" s="221">
        <f>-AC8*$C$9</f>
        <v>-1073.2212817485449</v>
      </c>
      <c r="AD9" s="221"/>
      <c r="AE9" s="221">
        <f>-AE8*$C$9</f>
        <v>-1100.0518137922584</v>
      </c>
      <c r="AF9" s="221"/>
      <c r="AG9" s="221">
        <f>-AG8*$C$9</f>
        <v>-1127.5531091370647</v>
      </c>
    </row>
    <row r="10" spans="1:34" s="210" customFormat="1" ht="13.8">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859</v>
      </c>
      <c r="C11" s="216"/>
      <c r="E11" s="223">
        <f>SUM(E4:E10)</f>
        <v>2029827.6</v>
      </c>
      <c r="G11" s="223">
        <f>SUM(G4:G10)</f>
        <v>2080573.29</v>
      </c>
      <c r="I11" s="223">
        <f>SUM(I4:I10)</f>
        <v>2132587.6222499995</v>
      </c>
      <c r="K11" s="223">
        <f>SUM(K4:K10)</f>
        <v>2185902.3128062501</v>
      </c>
      <c r="M11" s="223">
        <f>SUM(M4:M10)</f>
        <v>2240549.8706264058</v>
      </c>
      <c r="O11" s="223">
        <f>SUM(O4:O10)</f>
        <v>2296563.617392065</v>
      </c>
      <c r="Q11" s="223">
        <f>SUM(Q4:Q10)</f>
        <v>2353977.7078268668</v>
      </c>
      <c r="S11" s="223">
        <f>SUM(S4:S10)</f>
        <v>2412827.1505225385</v>
      </c>
      <c r="U11" s="223">
        <f>SUM(U4:U10)</f>
        <v>2473147.8292856016</v>
      </c>
      <c r="W11" s="223">
        <f>SUM(W4:W10)</f>
        <v>2534976.5250177416</v>
      </c>
      <c r="Y11" s="223">
        <f>SUM(Y4:Y10)</f>
        <v>2598350.9381431849</v>
      </c>
      <c r="AA11" s="223">
        <f>SUM(AA4:AA10)</f>
        <v>2663309.7115967646</v>
      </c>
      <c r="AC11" s="223">
        <f>SUM(AC4:AC10)</f>
        <v>2729892.4543866832</v>
      </c>
      <c r="AE11" s="223">
        <f>SUM(AE4:AE10)</f>
        <v>2798139.7657463499</v>
      </c>
      <c r="AG11" s="223">
        <f>SUM(AG4:AG10)</f>
        <v>2868093.2598900092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841</v>
      </c>
      <c r="C15" s="176"/>
      <c r="E15" s="219">
        <f>Application!W855</f>
        <v>381816</v>
      </c>
      <c r="G15" s="219">
        <f>E15*$C$14</f>
        <v>395179.56</v>
      </c>
      <c r="I15" s="219">
        <f>G15*$C$14</f>
        <v>409010.84459999995</v>
      </c>
      <c r="K15" s="219">
        <f>I15*$C$14</f>
        <v>423326.22416099993</v>
      </c>
      <c r="M15" s="219">
        <f>K15*$C$14</f>
        <v>438142.64200663491</v>
      </c>
      <c r="O15" s="219">
        <f>M15*$C$14</f>
        <v>453477.6344768671</v>
      </c>
      <c r="Q15" s="219">
        <f>O15*$C$14</f>
        <v>469349.35168355738</v>
      </c>
      <c r="S15" s="219">
        <f>Q15*$C$14</f>
        <v>485776.57899248187</v>
      </c>
      <c r="U15" s="219">
        <f>S15*$C$14</f>
        <v>502778.75925721868</v>
      </c>
      <c r="W15" s="219">
        <f>U15*$C$14</f>
        <v>520376.0158312213</v>
      </c>
      <c r="Y15" s="219">
        <f>W15*$C$14</f>
        <v>538589.17638531397</v>
      </c>
      <c r="AA15" s="219">
        <f>Y15*$C$14</f>
        <v>557439.79755879997</v>
      </c>
      <c r="AC15" s="219">
        <f>AA15*$C$14</f>
        <v>576950.19047335791</v>
      </c>
      <c r="AE15" s="219">
        <f>AC15*$C$14</f>
        <v>597143.44713992544</v>
      </c>
      <c r="AG15" s="219">
        <f>AE15*$C$14</f>
        <v>618043.46778982284</v>
      </c>
    </row>
    <row r="16" spans="1:34" s="210" customFormat="1" ht="13.8">
      <c r="A16" s="210" t="s">
        <v>344</v>
      </c>
      <c r="C16" s="237">
        <v>1</v>
      </c>
      <c r="E16" s="222">
        <f>Application!W857</f>
        <v>83700</v>
      </c>
      <c r="F16" s="222"/>
      <c r="G16" s="222">
        <f>E16*$C$16</f>
        <v>83700</v>
      </c>
      <c r="H16" s="222"/>
      <c r="I16" s="222">
        <f>G16*$C$16</f>
        <v>83700</v>
      </c>
      <c r="J16" s="222"/>
      <c r="K16" s="222">
        <f>I16*$C$16</f>
        <v>83700</v>
      </c>
      <c r="L16" s="222"/>
      <c r="M16" s="222">
        <f>K16*$C$16</f>
        <v>83700</v>
      </c>
      <c r="N16" s="222"/>
      <c r="O16" s="222">
        <f>M16*$C$16</f>
        <v>83700</v>
      </c>
      <c r="P16" s="222"/>
      <c r="Q16" s="222">
        <f>O16*$C$16</f>
        <v>83700</v>
      </c>
      <c r="R16" s="222"/>
      <c r="S16" s="222">
        <f>Q16*$C$16</f>
        <v>83700</v>
      </c>
      <c r="T16" s="222"/>
      <c r="U16" s="222">
        <f>S16*$C$16</f>
        <v>83700</v>
      </c>
      <c r="V16" s="222"/>
      <c r="W16" s="222">
        <f>U16*$C$16</f>
        <v>83700</v>
      </c>
      <c r="X16" s="222"/>
      <c r="Y16" s="222">
        <f>W16*$C$16</f>
        <v>83700</v>
      </c>
      <c r="Z16" s="222"/>
      <c r="AA16" s="222">
        <f>Y16*$C$16</f>
        <v>83700</v>
      </c>
      <c r="AB16" s="222"/>
      <c r="AC16" s="222">
        <f>AA16*$C$16</f>
        <v>83700</v>
      </c>
      <c r="AD16" s="222"/>
      <c r="AE16" s="219">
        <f>AC16*$C$16</f>
        <v>83700</v>
      </c>
      <c r="AF16" s="222"/>
      <c r="AG16" s="222">
        <f>AE16*$C$16</f>
        <v>83700</v>
      </c>
    </row>
    <row r="17" spans="1:33" s="210" customFormat="1" ht="13.8">
      <c r="A17" s="210" t="s">
        <v>561</v>
      </c>
      <c r="C17" s="233"/>
      <c r="E17" s="222">
        <f>Application!W863</f>
        <v>238000</v>
      </c>
      <c r="F17" s="222"/>
      <c r="G17" s="222">
        <f t="shared" ref="G17:AG21" si="0">E17*$C$14</f>
        <v>246329.99999999997</v>
      </c>
      <c r="H17" s="222"/>
      <c r="I17" s="222">
        <f t="shared" si="0"/>
        <v>254951.54999999996</v>
      </c>
      <c r="J17" s="222"/>
      <c r="K17" s="222">
        <f t="shared" si="0"/>
        <v>263874.85424999992</v>
      </c>
      <c r="L17" s="222"/>
      <c r="M17" s="222">
        <f t="shared" si="0"/>
        <v>273110.4741487499</v>
      </c>
      <c r="N17" s="222"/>
      <c r="O17" s="222">
        <f t="shared" si="0"/>
        <v>282669.3407439561</v>
      </c>
      <c r="P17" s="222"/>
      <c r="Q17" s="222">
        <f t="shared" si="0"/>
        <v>292562.76766999456</v>
      </c>
      <c r="R17" s="222"/>
      <c r="S17" s="222">
        <f t="shared" si="0"/>
        <v>302802.46453844436</v>
      </c>
      <c r="T17" s="222"/>
      <c r="U17" s="222">
        <f t="shared" si="0"/>
        <v>313400.55079728988</v>
      </c>
      <c r="V17" s="222"/>
      <c r="W17" s="222">
        <f t="shared" si="0"/>
        <v>324369.57007519499</v>
      </c>
      <c r="X17" s="222"/>
      <c r="Y17" s="222">
        <f t="shared" si="0"/>
        <v>335722.50502782682</v>
      </c>
      <c r="Z17" s="222"/>
      <c r="AA17" s="222">
        <f t="shared" si="0"/>
        <v>347472.79270380072</v>
      </c>
      <c r="AB17" s="222"/>
      <c r="AC17" s="222">
        <f t="shared" si="0"/>
        <v>359634.34044843371</v>
      </c>
      <c r="AD17" s="222"/>
      <c r="AE17" s="222">
        <f t="shared" si="0"/>
        <v>372221.54236412887</v>
      </c>
      <c r="AF17" s="222"/>
      <c r="AG17" s="222">
        <f t="shared" si="0"/>
        <v>385249.29634687334</v>
      </c>
    </row>
    <row r="18" spans="1:33" s="210" customFormat="1" ht="13.8">
      <c r="A18" s="210" t="s">
        <v>842</v>
      </c>
      <c r="C18" s="233"/>
      <c r="E18" s="222">
        <f>Application!W870</f>
        <v>169000</v>
      </c>
      <c r="F18" s="222"/>
      <c r="G18" s="222">
        <f t="shared" si="0"/>
        <v>174915</v>
      </c>
      <c r="H18" s="222"/>
      <c r="I18" s="222">
        <f t="shared" si="0"/>
        <v>181037.02499999999</v>
      </c>
      <c r="J18" s="222"/>
      <c r="K18" s="222">
        <f t="shared" si="0"/>
        <v>187373.32087499998</v>
      </c>
      <c r="L18" s="222"/>
      <c r="M18" s="222">
        <f t="shared" si="0"/>
        <v>193931.38710562495</v>
      </c>
      <c r="N18" s="222"/>
      <c r="O18" s="222">
        <f t="shared" si="0"/>
        <v>200718.98565432182</v>
      </c>
      <c r="P18" s="222"/>
      <c r="Q18" s="222">
        <f t="shared" si="0"/>
        <v>207744.15015222307</v>
      </c>
      <c r="R18" s="222"/>
      <c r="S18" s="222">
        <f t="shared" si="0"/>
        <v>215015.19540755087</v>
      </c>
      <c r="T18" s="222"/>
      <c r="U18" s="222">
        <f t="shared" si="0"/>
        <v>222540.72724681514</v>
      </c>
      <c r="V18" s="222"/>
      <c r="W18" s="222">
        <f t="shared" si="0"/>
        <v>230329.65270045365</v>
      </c>
      <c r="X18" s="222"/>
      <c r="Y18" s="222">
        <f t="shared" si="0"/>
        <v>238391.19054496952</v>
      </c>
      <c r="Z18" s="222"/>
      <c r="AA18" s="222">
        <f t="shared" si="0"/>
        <v>246734.88221404343</v>
      </c>
      <c r="AB18" s="222"/>
      <c r="AC18" s="222">
        <f t="shared" si="0"/>
        <v>255370.60309153493</v>
      </c>
      <c r="AD18" s="222"/>
      <c r="AE18" s="222">
        <f t="shared" si="0"/>
        <v>264308.57419973862</v>
      </c>
      <c r="AF18" s="222"/>
      <c r="AG18" s="222">
        <f t="shared" si="0"/>
        <v>273559.37429672945</v>
      </c>
    </row>
    <row r="19" spans="1:33" s="210" customFormat="1" ht="13.8">
      <c r="A19" s="210" t="s">
        <v>155</v>
      </c>
      <c r="C19" s="233"/>
      <c r="E19" s="222">
        <f>Application!W872</f>
        <v>60000</v>
      </c>
      <c r="F19" s="222"/>
      <c r="G19" s="222">
        <f t="shared" si="0"/>
        <v>62099.999999999993</v>
      </c>
      <c r="H19" s="222"/>
      <c r="I19" s="222">
        <f t="shared" si="0"/>
        <v>64273.499999999985</v>
      </c>
      <c r="J19" s="222"/>
      <c r="K19" s="222">
        <f t="shared" si="0"/>
        <v>66523.07249999998</v>
      </c>
      <c r="L19" s="222"/>
      <c r="M19" s="222">
        <f t="shared" si="0"/>
        <v>68851.38003749997</v>
      </c>
      <c r="N19" s="222"/>
      <c r="O19" s="222">
        <f t="shared" si="0"/>
        <v>71261.17833881246</v>
      </c>
      <c r="P19" s="222"/>
      <c r="Q19" s="222">
        <f t="shared" si="0"/>
        <v>73755.319580670897</v>
      </c>
      <c r="R19" s="222"/>
      <c r="S19" s="222">
        <f t="shared" si="0"/>
        <v>76336.75576599437</v>
      </c>
      <c r="T19" s="222"/>
      <c r="U19" s="222">
        <f t="shared" si="0"/>
        <v>79008.542217804163</v>
      </c>
      <c r="V19" s="222"/>
      <c r="W19" s="222">
        <f t="shared" si="0"/>
        <v>81773.841195427303</v>
      </c>
      <c r="X19" s="222"/>
      <c r="Y19" s="222">
        <f t="shared" si="0"/>
        <v>84635.925637267253</v>
      </c>
      <c r="Z19" s="222"/>
      <c r="AA19" s="222">
        <f t="shared" si="0"/>
        <v>87598.183034571601</v>
      </c>
      <c r="AB19" s="222"/>
      <c r="AC19" s="222">
        <f t="shared" si="0"/>
        <v>90664.119440781593</v>
      </c>
      <c r="AD19" s="222"/>
      <c r="AE19" s="222">
        <f t="shared" si="0"/>
        <v>93837.363621208948</v>
      </c>
      <c r="AF19" s="222"/>
      <c r="AG19" s="222">
        <f t="shared" si="0"/>
        <v>97121.671347951255</v>
      </c>
    </row>
    <row r="20" spans="1:33" s="210" customFormat="1" ht="13.8">
      <c r="A20" s="210" t="s">
        <v>390</v>
      </c>
      <c r="C20" s="233"/>
      <c r="E20" s="222">
        <f>Application!W881</f>
        <v>177302</v>
      </c>
      <c r="F20" s="222"/>
      <c r="G20" s="222">
        <f t="shared" si="0"/>
        <v>183507.56999999998</v>
      </c>
      <c r="H20" s="222"/>
      <c r="I20" s="222">
        <f t="shared" si="0"/>
        <v>189930.33494999996</v>
      </c>
      <c r="J20" s="222"/>
      <c r="K20" s="222">
        <f t="shared" si="0"/>
        <v>196577.89667324995</v>
      </c>
      <c r="L20" s="222"/>
      <c r="M20" s="222">
        <f t="shared" si="0"/>
        <v>203458.1230568137</v>
      </c>
      <c r="N20" s="222"/>
      <c r="O20" s="222">
        <f t="shared" si="0"/>
        <v>210579.15736380217</v>
      </c>
      <c r="P20" s="222"/>
      <c r="Q20" s="222">
        <f t="shared" si="0"/>
        <v>217949.42787153521</v>
      </c>
      <c r="R20" s="222"/>
      <c r="S20" s="222">
        <f t="shared" si="0"/>
        <v>225577.65784703894</v>
      </c>
      <c r="T20" s="222"/>
      <c r="U20" s="222">
        <f t="shared" si="0"/>
        <v>233472.87587168528</v>
      </c>
      <c r="V20" s="222"/>
      <c r="W20" s="222">
        <f t="shared" si="0"/>
        <v>241644.42652719424</v>
      </c>
      <c r="X20" s="222"/>
      <c r="Y20" s="222">
        <f t="shared" si="0"/>
        <v>250101.98145564602</v>
      </c>
      <c r="Z20" s="222"/>
      <c r="AA20" s="222">
        <f t="shared" si="0"/>
        <v>258855.55080659362</v>
      </c>
      <c r="AB20" s="222"/>
      <c r="AC20" s="222">
        <f t="shared" si="0"/>
        <v>267915.49508482439</v>
      </c>
      <c r="AD20" s="222"/>
      <c r="AE20" s="222">
        <f t="shared" si="0"/>
        <v>277292.5374127932</v>
      </c>
      <c r="AF20" s="222"/>
      <c r="AG20" s="222">
        <f t="shared" si="0"/>
        <v>286997.77622224094</v>
      </c>
    </row>
    <row r="21" spans="1:33" s="210" customFormat="1" ht="13.8">
      <c r="A21" s="226" t="s">
        <v>961</v>
      </c>
      <c r="B21" s="226"/>
      <c r="C21" s="233"/>
      <c r="E21" s="232">
        <f>Application!W888</f>
        <v>1920</v>
      </c>
      <c r="F21" s="222"/>
      <c r="G21" s="232">
        <f t="shared" si="0"/>
        <v>1987.1999999999998</v>
      </c>
      <c r="H21" s="222"/>
      <c r="I21" s="232">
        <f t="shared" si="0"/>
        <v>2056.7519999999995</v>
      </c>
      <c r="J21" s="222"/>
      <c r="K21" s="232">
        <f t="shared" si="0"/>
        <v>2128.7383199999995</v>
      </c>
      <c r="L21" s="222"/>
      <c r="M21" s="232">
        <f t="shared" si="0"/>
        <v>2203.2441611999993</v>
      </c>
      <c r="N21" s="222"/>
      <c r="O21" s="232">
        <f t="shared" si="0"/>
        <v>2280.3577068419991</v>
      </c>
      <c r="P21" s="222"/>
      <c r="Q21" s="232">
        <f t="shared" si="0"/>
        <v>2360.1702265814688</v>
      </c>
      <c r="R21" s="222"/>
      <c r="S21" s="232">
        <f t="shared" si="0"/>
        <v>2442.7761845118198</v>
      </c>
      <c r="T21" s="222"/>
      <c r="U21" s="232">
        <f t="shared" si="0"/>
        <v>2528.2733509697332</v>
      </c>
      <c r="V21" s="222"/>
      <c r="W21" s="232">
        <f t="shared" si="0"/>
        <v>2616.7629182536739</v>
      </c>
      <c r="X21" s="222"/>
      <c r="Y21" s="232">
        <f t="shared" si="0"/>
        <v>2708.3496203925524</v>
      </c>
      <c r="Z21" s="222"/>
      <c r="AA21" s="232">
        <f t="shared" si="0"/>
        <v>2803.1418571062914</v>
      </c>
      <c r="AB21" s="222"/>
      <c r="AC21" s="232">
        <f t="shared" si="0"/>
        <v>2901.2518221050113</v>
      </c>
      <c r="AD21" s="222"/>
      <c r="AE21" s="232">
        <f t="shared" si="0"/>
        <v>3002.7956358786864</v>
      </c>
      <c r="AF21" s="222"/>
      <c r="AG21" s="232">
        <f t="shared" si="0"/>
        <v>3107.8934831344404</v>
      </c>
    </row>
    <row r="22" spans="1:33" s="223" customFormat="1" ht="13.8">
      <c r="A22" s="223" t="s">
        <v>843</v>
      </c>
      <c r="C22" s="233"/>
      <c r="E22" s="223">
        <f>SUM(E15:E21)</f>
        <v>1111738</v>
      </c>
      <c r="G22" s="223">
        <f>SUM(G15:G21)</f>
        <v>1147719.3299999998</v>
      </c>
      <c r="I22" s="223">
        <f>SUM(I15:I21)</f>
        <v>1184960.00655</v>
      </c>
      <c r="K22" s="223">
        <f>SUM(K15:K21)</f>
        <v>1223504.1067792499</v>
      </c>
      <c r="M22" s="223">
        <f>SUM(M15:M21)</f>
        <v>1263397.2505165234</v>
      </c>
      <c r="O22" s="223">
        <f>SUM(O15:O21)</f>
        <v>1304686.6542846018</v>
      </c>
      <c r="Q22" s="223">
        <f>SUM(Q15:Q21)</f>
        <v>1347421.1871845627</v>
      </c>
      <c r="S22" s="223">
        <f>SUM(S15:S21)</f>
        <v>1391651.428736022</v>
      </c>
      <c r="U22" s="223">
        <f>SUM(U15:U21)</f>
        <v>1437429.7287417827</v>
      </c>
      <c r="W22" s="223">
        <f>SUM(W15:W21)</f>
        <v>1484810.2692477454</v>
      </c>
      <c r="Y22" s="223">
        <f>SUM(Y15:Y21)</f>
        <v>1533849.1286714163</v>
      </c>
      <c r="AA22" s="223">
        <f>SUM(AA15:AA21)</f>
        <v>1584604.3481749156</v>
      </c>
      <c r="AC22" s="223">
        <f>SUM(AC15:AC21)</f>
        <v>1637136.0003610377</v>
      </c>
      <c r="AE22" s="223">
        <f>SUM(AE15:AE21)</f>
        <v>1691506.2603736736</v>
      </c>
      <c r="AG22" s="223">
        <f>SUM(AG15:AG21)</f>
        <v>1747779.4794867523</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845</v>
      </c>
      <c r="C27" s="237">
        <v>1.0349999999999999</v>
      </c>
      <c r="E27" s="222">
        <f>Application!AC897</f>
        <v>35000</v>
      </c>
      <c r="F27" s="222"/>
      <c r="G27" s="222">
        <f>E27*$C$27</f>
        <v>36225</v>
      </c>
      <c r="H27" s="222"/>
      <c r="I27" s="222">
        <f>G27*$C$27</f>
        <v>37492.875</v>
      </c>
      <c r="J27" s="222"/>
      <c r="K27" s="222">
        <f>I27*$C$27</f>
        <v>38805.125625000001</v>
      </c>
      <c r="L27" s="222"/>
      <c r="M27" s="222">
        <f>K27*$C$27</f>
        <v>40163.305021875</v>
      </c>
      <c r="N27" s="222"/>
      <c r="O27" s="222">
        <f>M27*$C$27</f>
        <v>41569.020697640619</v>
      </c>
      <c r="P27" s="222"/>
      <c r="Q27" s="222">
        <f>O27*$C$27</f>
        <v>43023.936422058039</v>
      </c>
      <c r="R27" s="222"/>
      <c r="S27" s="222">
        <f>Q27*$C$27</f>
        <v>44529.774196830069</v>
      </c>
      <c r="T27" s="222"/>
      <c r="U27" s="222">
        <f>S27*$C$27</f>
        <v>46088.316293719115</v>
      </c>
      <c r="V27" s="222"/>
      <c r="W27" s="222">
        <f>U27*$C$27</f>
        <v>47701.407363999278</v>
      </c>
      <c r="X27" s="222"/>
      <c r="Y27" s="222">
        <f>W27*$C$27</f>
        <v>49370.956621739249</v>
      </c>
      <c r="Z27" s="222"/>
      <c r="AA27" s="222">
        <f>Y27*$C$27</f>
        <v>51098.940103500121</v>
      </c>
      <c r="AB27" s="222"/>
      <c r="AC27" s="222">
        <f>AA27*$C$27</f>
        <v>52887.403007122623</v>
      </c>
      <c r="AD27" s="222"/>
      <c r="AE27" s="222">
        <f>AC27*$C$27</f>
        <v>54738.462112371912</v>
      </c>
      <c r="AF27" s="222"/>
      <c r="AG27" s="222">
        <f>AE27*$C$27</f>
        <v>56654.308286304928</v>
      </c>
    </row>
    <row r="28" spans="1:33" s="210" customFormat="1" ht="13.8">
      <c r="A28" s="210" t="s">
        <v>846</v>
      </c>
      <c r="C28" s="237"/>
      <c r="E28" s="222">
        <f>Application!AC898</f>
        <v>47100</v>
      </c>
      <c r="F28" s="222"/>
      <c r="G28" s="222">
        <f>$E$28</f>
        <v>47100</v>
      </c>
      <c r="H28" s="222"/>
      <c r="I28" s="222">
        <f>$E$28</f>
        <v>47100</v>
      </c>
      <c r="J28" s="222"/>
      <c r="K28" s="222">
        <f>$E$28</f>
        <v>47100</v>
      </c>
      <c r="L28" s="222"/>
      <c r="M28" s="222">
        <f>$E$28</f>
        <v>47100</v>
      </c>
      <c r="N28" s="222"/>
      <c r="O28" s="222">
        <f>$E$28</f>
        <v>47100</v>
      </c>
      <c r="P28" s="222"/>
      <c r="Q28" s="222">
        <f>$E$28</f>
        <v>47100</v>
      </c>
      <c r="R28" s="222"/>
      <c r="S28" s="222">
        <f>$E$28</f>
        <v>47100</v>
      </c>
      <c r="T28" s="222"/>
      <c r="U28" s="222">
        <f>$E$28</f>
        <v>47100</v>
      </c>
      <c r="V28" s="222"/>
      <c r="W28" s="222">
        <f>$E$28</f>
        <v>47100</v>
      </c>
      <c r="X28" s="222"/>
      <c r="Y28" s="222">
        <f>$E$28</f>
        <v>47100</v>
      </c>
      <c r="Z28" s="222"/>
      <c r="AA28" s="222">
        <f>$E$28</f>
        <v>47100</v>
      </c>
      <c r="AB28" s="222"/>
      <c r="AC28" s="222">
        <f>$E$28</f>
        <v>47100</v>
      </c>
      <c r="AD28" s="222"/>
      <c r="AE28" s="222">
        <f>$E$28</f>
        <v>47100</v>
      </c>
      <c r="AF28" s="222"/>
      <c r="AG28" s="222">
        <f>$E$28</f>
        <v>47100</v>
      </c>
    </row>
    <row r="29" spans="1:33" s="210" customFormat="1" ht="13.8">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844</v>
      </c>
      <c r="C30" s="237">
        <v>1.02</v>
      </c>
      <c r="E30" s="222">
        <f>Application!AC900</f>
        <v>26028</v>
      </c>
      <c r="F30" s="222"/>
      <c r="G30" s="222">
        <f>E30*$C$30</f>
        <v>26548.560000000001</v>
      </c>
      <c r="H30" s="222"/>
      <c r="I30" s="222">
        <f>G30*$C$30</f>
        <v>27079.531200000001</v>
      </c>
      <c r="J30" s="222"/>
      <c r="K30" s="222">
        <f>I30*$C$30</f>
        <v>27621.121824000002</v>
      </c>
      <c r="L30" s="222"/>
      <c r="M30" s="222">
        <f>K30*$C$30</f>
        <v>28173.544260480001</v>
      </c>
      <c r="N30" s="222"/>
      <c r="O30" s="222">
        <f>M30*$C$30</f>
        <v>28737.015145689602</v>
      </c>
      <c r="P30" s="222"/>
      <c r="Q30" s="222">
        <f>O30*$C$30</f>
        <v>29311.755448603395</v>
      </c>
      <c r="R30" s="222"/>
      <c r="S30" s="222">
        <f>Q30*$C$30</f>
        <v>29897.990557575464</v>
      </c>
      <c r="T30" s="222"/>
      <c r="U30" s="222">
        <f>S30*$C$30</f>
        <v>30495.950368726975</v>
      </c>
      <c r="V30" s="222"/>
      <c r="W30" s="222">
        <f>U30*$C$30</f>
        <v>31105.869376101517</v>
      </c>
      <c r="X30" s="222"/>
      <c r="Y30" s="222">
        <f>W30*$C$30</f>
        <v>31727.986763623547</v>
      </c>
      <c r="Z30" s="222"/>
      <c r="AA30" s="222">
        <f>Y30*$C$30</f>
        <v>32362.546498896019</v>
      </c>
      <c r="AB30" s="222"/>
      <c r="AC30" s="222">
        <f>AA30*$C$30</f>
        <v>33009.797428873942</v>
      </c>
      <c r="AD30" s="222"/>
      <c r="AE30" s="222">
        <f>AC30*$C$30</f>
        <v>33669.993377451421</v>
      </c>
      <c r="AF30" s="222"/>
      <c r="AG30" s="222">
        <f>AE30*$C$30</f>
        <v>34343.39324500045</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(LACDA Annual Soft Fund Monitoring):</v>
      </c>
      <c r="C32" s="316">
        <v>1</v>
      </c>
      <c r="E32" s="222">
        <f>Application!AC903</f>
        <v>7239</v>
      </c>
      <c r="F32" s="222"/>
      <c r="G32" s="222">
        <f>E32*$C$32</f>
        <v>7239</v>
      </c>
      <c r="H32" s="222"/>
      <c r="I32" s="222">
        <f>G32*$C$32</f>
        <v>7239</v>
      </c>
      <c r="J32" s="222"/>
      <c r="K32" s="222">
        <f>I32*$C$32</f>
        <v>7239</v>
      </c>
      <c r="L32" s="222"/>
      <c r="M32" s="222">
        <f>K32*$C$32</f>
        <v>7239</v>
      </c>
      <c r="N32" s="222"/>
      <c r="O32" s="222">
        <f>M32*$C$32</f>
        <v>7239</v>
      </c>
      <c r="P32" s="222"/>
      <c r="Q32" s="222">
        <f>O32*$C$32</f>
        <v>7239</v>
      </c>
      <c r="R32" s="222"/>
      <c r="S32" s="222">
        <f>Q32*$C$32</f>
        <v>7239</v>
      </c>
      <c r="T32" s="222"/>
      <c r="U32" s="222">
        <f>S32*$C$32</f>
        <v>7239</v>
      </c>
      <c r="V32" s="222"/>
      <c r="W32" s="222">
        <f>U32*$C$32</f>
        <v>7239</v>
      </c>
      <c r="X32" s="222"/>
      <c r="Y32" s="222">
        <f>W32*$C$32</f>
        <v>7239</v>
      </c>
      <c r="Z32" s="222"/>
      <c r="AA32" s="222">
        <f>Y32*$C$32</f>
        <v>7239</v>
      </c>
      <c r="AB32" s="222"/>
      <c r="AC32" s="222">
        <f>AA32*$C$32</f>
        <v>7239</v>
      </c>
      <c r="AD32" s="222"/>
      <c r="AE32" s="222">
        <f>AC32*$C$32</f>
        <v>7239</v>
      </c>
      <c r="AF32" s="222"/>
      <c r="AG32" s="222">
        <f>AE32*$C$32</f>
        <v>7239</v>
      </c>
    </row>
    <row r="33" spans="1:33" s="210" customFormat="1" ht="13.8">
      <c r="A33" s="210" t="str">
        <f>Application!C904</f>
        <v>Other (LACDA Bond Monitoring):</v>
      </c>
      <c r="C33" s="316">
        <v>1.0249999999999999</v>
      </c>
      <c r="E33" s="222">
        <f>Application!AC904</f>
        <v>12025</v>
      </c>
      <c r="F33" s="222"/>
      <c r="G33" s="222">
        <f>E33*$C$33</f>
        <v>12325.624999999998</v>
      </c>
      <c r="H33" s="222"/>
      <c r="I33" s="222">
        <f>G33*$C$33</f>
        <v>12633.765624999996</v>
      </c>
      <c r="J33" s="222"/>
      <c r="K33" s="222">
        <f>I33*$C$33</f>
        <v>12949.609765624995</v>
      </c>
      <c r="L33" s="222"/>
      <c r="M33" s="222">
        <f>K33*$C$33</f>
        <v>13273.350009765618</v>
      </c>
      <c r="N33" s="222"/>
      <c r="O33" s="222">
        <f>M33*$C$33</f>
        <v>13605.183760009757</v>
      </c>
      <c r="P33" s="222"/>
      <c r="Q33" s="222">
        <f>O33*$C$33</f>
        <v>13945.313354009999</v>
      </c>
      <c r="R33" s="222"/>
      <c r="S33" s="222">
        <f>Q33*$C$33</f>
        <v>14293.946187860247</v>
      </c>
      <c r="T33" s="222"/>
      <c r="U33" s="222">
        <f>S33*$C$33</f>
        <v>14651.294842556752</v>
      </c>
      <c r="V33" s="222"/>
      <c r="W33" s="222">
        <f>U33*$C$33</f>
        <v>15017.577213620669</v>
      </c>
      <c r="X33" s="222"/>
      <c r="Y33" s="222">
        <f>W33*$C$33</f>
        <v>15393.016643961184</v>
      </c>
      <c r="Z33" s="222"/>
      <c r="AA33" s="222">
        <f>Y33*$C$33</f>
        <v>15777.842060060213</v>
      </c>
      <c r="AB33" s="222"/>
      <c r="AC33" s="222">
        <f>AA33*$C$33</f>
        <v>16172.288111561717</v>
      </c>
      <c r="AD33" s="222"/>
      <c r="AE33" s="222">
        <f>AC33*$C$33</f>
        <v>16576.595314350758</v>
      </c>
      <c r="AF33" s="222"/>
      <c r="AG33" s="222">
        <f>AE33*$C$33</f>
        <v>16991.010197209525</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1239130</v>
      </c>
      <c r="G35" s="223">
        <f>SUM(G22:G33)</f>
        <v>1277157.5149999999</v>
      </c>
      <c r="I35" s="223">
        <f>SUM(I22:I33)</f>
        <v>1316505.1783750001</v>
      </c>
      <c r="K35" s="223">
        <f>SUM(K22:K33)</f>
        <v>1357218.9639938751</v>
      </c>
      <c r="M35" s="223">
        <f>SUM(M22:M33)</f>
        <v>1399346.4498086441</v>
      </c>
      <c r="O35" s="223">
        <f>SUM(O22:O33)</f>
        <v>1442936.8738879419</v>
      </c>
      <c r="Q35" s="223">
        <f>SUM(Q22:Q33)</f>
        <v>1488041.1924092341</v>
      </c>
      <c r="S35" s="223">
        <f>SUM(S22:S33)</f>
        <v>1534712.1396782878</v>
      </c>
      <c r="U35" s="223">
        <f>SUM(U22:U33)</f>
        <v>1583004.2902467859</v>
      </c>
      <c r="W35" s="223">
        <f>SUM(W22:W33)</f>
        <v>1632974.1232014669</v>
      </c>
      <c r="Y35" s="223">
        <f>SUM(Y22:Y33)</f>
        <v>1684680.0887007404</v>
      </c>
      <c r="AA35" s="223">
        <f>SUM(AA22:AA33)</f>
        <v>1738182.6768373721</v>
      </c>
      <c r="AC35" s="223">
        <f>SUM(AC22:AC33)</f>
        <v>1793544.4889085959</v>
      </c>
      <c r="AE35" s="223">
        <f>SUM(AE22:AE33)</f>
        <v>1850830.3111778474</v>
      </c>
      <c r="AG35" s="223">
        <f>SUM(AG22:AG33)</f>
        <v>1910107.1912152669</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847</v>
      </c>
      <c r="C37" s="224"/>
      <c r="E37" s="223">
        <f>E11-E35</f>
        <v>790697.60000000009</v>
      </c>
      <c r="G37" s="223">
        <f>G11-G35</f>
        <v>803415.77500000014</v>
      </c>
      <c r="I37" s="223">
        <f>I11-I35</f>
        <v>816082.44387499942</v>
      </c>
      <c r="K37" s="223">
        <f>K11-K35</f>
        <v>828683.34881237498</v>
      </c>
      <c r="M37" s="223">
        <f>M11-M35</f>
        <v>841203.42081776168</v>
      </c>
      <c r="O37" s="223">
        <f>O11-O35</f>
        <v>853626.74350412306</v>
      </c>
      <c r="Q37" s="223">
        <f>Q11-Q35</f>
        <v>865936.51541763265</v>
      </c>
      <c r="S37" s="223">
        <f>S11-S35</f>
        <v>878115.01084425068</v>
      </c>
      <c r="U37" s="223">
        <f>U11-U35</f>
        <v>890143.53903881577</v>
      </c>
      <c r="W37" s="223">
        <f>W11-W35</f>
        <v>902002.40181627474</v>
      </c>
      <c r="Y37" s="223">
        <f>Y11-Y35</f>
        <v>913670.84944244451</v>
      </c>
      <c r="AA37" s="223">
        <f>AA11-AA35</f>
        <v>925127.0347593925</v>
      </c>
      <c r="AC37" s="223">
        <f>AC11-AC35</f>
        <v>936347.96547808731</v>
      </c>
      <c r="AE37" s="223">
        <f>AE11-AE35</f>
        <v>947309.45456850249</v>
      </c>
      <c r="AG37" s="223">
        <f>AG11-AG35</f>
        <v>957986.06867474224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Perm Loan - Tranche B Loan</v>
      </c>
      <c r="B40" s="226"/>
      <c r="C40" s="220"/>
      <c r="E40" s="222">
        <f>Application!AF635</f>
        <v>687563</v>
      </c>
      <c r="F40" s="222"/>
      <c r="G40" s="222">
        <f>$E$40</f>
        <v>687563</v>
      </c>
      <c r="H40" s="222"/>
      <c r="I40" s="222">
        <f>$E$40</f>
        <v>687563</v>
      </c>
      <c r="J40" s="222"/>
      <c r="K40" s="222">
        <f>$E$40</f>
        <v>687563</v>
      </c>
      <c r="L40" s="222"/>
      <c r="M40" s="222">
        <f>$E$40</f>
        <v>687563</v>
      </c>
      <c r="N40" s="222"/>
      <c r="O40" s="222">
        <f>$E$40</f>
        <v>687563</v>
      </c>
      <c r="P40" s="222"/>
      <c r="Q40" s="222">
        <f>$E$40</f>
        <v>687563</v>
      </c>
      <c r="R40" s="222"/>
      <c r="S40" s="222">
        <f>$E$40</f>
        <v>687563</v>
      </c>
      <c r="T40" s="222"/>
      <c r="U40" s="222">
        <f>$E$40</f>
        <v>687563</v>
      </c>
      <c r="V40" s="222"/>
      <c r="W40" s="222">
        <f>$E$40</f>
        <v>687563</v>
      </c>
      <c r="X40" s="222"/>
      <c r="Y40" s="222">
        <f>$E$40</f>
        <v>687563</v>
      </c>
      <c r="Z40" s="222"/>
      <c r="AA40" s="222">
        <f>$E$40</f>
        <v>687563</v>
      </c>
      <c r="AB40" s="222"/>
      <c r="AC40" s="222">
        <f>$E$40</f>
        <v>687563</v>
      </c>
      <c r="AD40" s="222"/>
      <c r="AE40" s="222">
        <f>$E$40</f>
        <v>687563</v>
      </c>
      <c r="AF40" s="222"/>
      <c r="AG40" s="222">
        <f>$E$40</f>
        <v>687563</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848</v>
      </c>
      <c r="C43" s="224"/>
      <c r="E43" s="223">
        <f>SUM(E40:E42)</f>
        <v>687563</v>
      </c>
      <c r="G43" s="223">
        <f>SUM(G40:G42)</f>
        <v>687563</v>
      </c>
      <c r="I43" s="223">
        <f>SUM(I40:I42)</f>
        <v>687563</v>
      </c>
      <c r="K43" s="223">
        <f>SUM(K40:K42)</f>
        <v>687563</v>
      </c>
      <c r="M43" s="223">
        <f>SUM(M40:M42)</f>
        <v>687563</v>
      </c>
      <c r="O43" s="223">
        <f>SUM(O40:O42)</f>
        <v>687563</v>
      </c>
      <c r="Q43" s="223">
        <f>SUM(Q40:Q42)</f>
        <v>687563</v>
      </c>
      <c r="S43" s="223">
        <f>SUM(S40:S42)</f>
        <v>687563</v>
      </c>
      <c r="U43" s="223">
        <f>SUM(U40:U42)</f>
        <v>687563</v>
      </c>
      <c r="W43" s="223">
        <f>SUM(W40:W42)</f>
        <v>687563</v>
      </c>
      <c r="Y43" s="223">
        <f>SUM(Y40:Y42)</f>
        <v>687563</v>
      </c>
      <c r="AA43" s="223">
        <f>SUM(AA40:AA42)</f>
        <v>687563</v>
      </c>
      <c r="AC43" s="223">
        <f>SUM(AC40:AC42)</f>
        <v>687563</v>
      </c>
      <c r="AE43" s="223">
        <f>SUM(AE40:AE42)</f>
        <v>687563</v>
      </c>
      <c r="AG43" s="223">
        <f>SUM(AG40:AG42)</f>
        <v>687563</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849</v>
      </c>
      <c r="C45" s="224"/>
      <c r="E45" s="223">
        <f>E37-E43</f>
        <v>103134.60000000009</v>
      </c>
      <c r="G45" s="223">
        <f>G37-G43</f>
        <v>115852.77500000014</v>
      </c>
      <c r="I45" s="223">
        <f>I37-I43</f>
        <v>128519.44387499942</v>
      </c>
      <c r="K45" s="223">
        <f>K37-K43</f>
        <v>141120.34881237498</v>
      </c>
      <c r="M45" s="223">
        <f>M37-M43</f>
        <v>153640.42081776168</v>
      </c>
      <c r="O45" s="223">
        <f>O37-O43</f>
        <v>166063.74350412306</v>
      </c>
      <c r="Q45" s="223">
        <f>Q37-Q43</f>
        <v>178373.51541763265</v>
      </c>
      <c r="S45" s="223">
        <f>S37-S43</f>
        <v>190552.01084425068</v>
      </c>
      <c r="U45" s="223">
        <f>U37-U43</f>
        <v>202580.53903881577</v>
      </c>
      <c r="W45" s="223">
        <f>W37-W43</f>
        <v>214439.40181627474</v>
      </c>
      <c r="Y45" s="223">
        <f>Y37-Y43</f>
        <v>226107.84944244451</v>
      </c>
      <c r="AA45" s="223">
        <f>AA37-AA43</f>
        <v>237564.0347593925</v>
      </c>
      <c r="AC45" s="223">
        <f>AC37-AC43</f>
        <v>248784.96547808731</v>
      </c>
      <c r="AE45" s="223">
        <f>AE37-AE43</f>
        <v>259746.45456850249</v>
      </c>
      <c r="AG45" s="223">
        <f>AG37-AG43</f>
        <v>270423.06867474224</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851</v>
      </c>
      <c r="C47" s="220"/>
      <c r="E47" s="227">
        <f>E45/(E4+E6+E8)</f>
        <v>4.5728583057989797E-2</v>
      </c>
      <c r="G47" s="227">
        <f>G45/(G4+G6+G8)</f>
        <v>5.011479191872166E-2</v>
      </c>
      <c r="I47" s="227">
        <f>I45/(I4+I6+I8)</f>
        <v>5.423809942470912E-2</v>
      </c>
      <c r="K47" s="227">
        <f>K45/(K4+K6+K8)</f>
        <v>5.8103380552301478E-2</v>
      </c>
      <c r="M47" s="227">
        <f>M45/(M4+M6+M8)</f>
        <v>6.1715376456818898E-2</v>
      </c>
      <c r="O47" s="227">
        <f>O45/(O4+O6+O8)</f>
        <v>6.5078697590546922E-2</v>
      </c>
      <c r="Q47" s="227">
        <f>Q45/(Q4+Q6+Q8)</f>
        <v>6.8197826743258472E-2</v>
      </c>
      <c r="S47" s="227">
        <f>S45/(S4+S6+S8)</f>
        <v>7.1077122007138019E-2</v>
      </c>
      <c r="U47" s="227">
        <f>U45/(U4+U6+U8)</f>
        <v>7.3720819667945303E-2</v>
      </c>
      <c r="W47" s="227">
        <f>W45/(W4+W6+W8)</f>
        <v>7.6133037024197506E-2</v>
      </c>
      <c r="Y47" s="227">
        <f>Y45/(Y4+Y6+Y8)</f>
        <v>7.8317775136110629E-2</v>
      </c>
      <c r="AA47" s="227">
        <f>AA45/(AA4+AA6+AA8)</f>
        <v>8.0278921506003409E-2</v>
      </c>
      <c r="AC47" s="227">
        <f>AC45/(AC4+AC6+AC8)</f>
        <v>8.202025269181637E-2</v>
      </c>
      <c r="AE47" s="227">
        <f>AE45/(AE4+AE6+AE8)</f>
        <v>8.3545436855366695E-2</v>
      </c>
      <c r="AG47" s="227">
        <f>AG45/(AG4+AG6+AG8)</f>
        <v>8.4858036246911184E-2</v>
      </c>
    </row>
    <row r="48" spans="1:33" s="227" customFormat="1" ht="13.8">
      <c r="A48" s="227" t="s">
        <v>852</v>
      </c>
      <c r="C48" s="220"/>
      <c r="E48" s="227">
        <f>E45/E43</f>
        <v>0.15000021816182676</v>
      </c>
      <c r="G48" s="227">
        <f>G45/G43</f>
        <v>0.16849768675743187</v>
      </c>
      <c r="I48" s="227">
        <f>I45/I43</f>
        <v>0.18692024421761994</v>
      </c>
      <c r="K48" s="227">
        <f>K45/K43</f>
        <v>0.20524715380608757</v>
      </c>
      <c r="M48" s="227">
        <f>M45/M43</f>
        <v>0.22345649899392736</v>
      </c>
      <c r="O48" s="227">
        <f>O45/O43</f>
        <v>0.24152513079401169</v>
      </c>
      <c r="Q48" s="227">
        <f>Q45/Q43</f>
        <v>0.25942861296729558</v>
      </c>
      <c r="S48" s="227">
        <f>S45/S43</f>
        <v>0.27714116501942465</v>
      </c>
      <c r="U48" s="227">
        <f>U45/U43</f>
        <v>0.29463560290302965</v>
      </c>
      <c r="W48" s="227">
        <f>W45/W43</f>
        <v>0.31188327733789445</v>
      </c>
      <c r="Y48" s="227">
        <f>Y45/Y43</f>
        <v>0.32885400965794337</v>
      </c>
      <c r="AA48" s="227">
        <f>AA45/AA43</f>
        <v>0.34551602509063534</v>
      </c>
      <c r="AC48" s="227">
        <f>AC45/AC43</f>
        <v>0.36183588337081446</v>
      </c>
      <c r="AE48" s="227">
        <f>AE45/AE43</f>
        <v>0.37777840658747269</v>
      </c>
      <c r="AG48" s="227">
        <f>AG45/AG43</f>
        <v>0.39330660415808044</v>
      </c>
    </row>
    <row r="49" spans="1:34" s="228" customFormat="1" ht="13.8">
      <c r="A49" s="228" t="s">
        <v>850</v>
      </c>
      <c r="C49" s="229"/>
      <c r="E49" s="228">
        <f>E37/E43</f>
        <v>1.1500002181618267</v>
      </c>
      <c r="G49" s="228">
        <f>G37/G43</f>
        <v>1.1684976867574319</v>
      </c>
      <c r="I49" s="228">
        <f>I37/I43</f>
        <v>1.1869202442176199</v>
      </c>
      <c r="K49" s="228">
        <f>K37/K43</f>
        <v>1.2052471538060876</v>
      </c>
      <c r="M49" s="228">
        <f>M37/M43</f>
        <v>1.2234564989939274</v>
      </c>
      <c r="O49" s="228">
        <f>O37/O43</f>
        <v>1.2415251307940116</v>
      </c>
      <c r="Q49" s="228">
        <f>Q37/Q43</f>
        <v>1.2594286129672956</v>
      </c>
      <c r="S49" s="228">
        <f>S37/S43</f>
        <v>1.2771411650194247</v>
      </c>
      <c r="U49" s="228">
        <f>U37/U43</f>
        <v>1.2946356029030297</v>
      </c>
      <c r="W49" s="228">
        <f>W37/W43</f>
        <v>1.3118832773378946</v>
      </c>
      <c r="Y49" s="228">
        <f>Y37/Y43</f>
        <v>1.3288540096579433</v>
      </c>
      <c r="AA49" s="228">
        <f>AA37/AA43</f>
        <v>1.3455160250906353</v>
      </c>
      <c r="AC49" s="228">
        <f>AC37/AC43</f>
        <v>1.3618358833708144</v>
      </c>
      <c r="AE49" s="228">
        <f>AE37/AE43</f>
        <v>1.3777784065874727</v>
      </c>
      <c r="AG49" s="228">
        <f>AG37/AG43</f>
        <v>1.3933066041580804</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704" t="s">
        <v>2756</v>
      </c>
      <c r="B52" s="2704"/>
      <c r="C52" s="270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v>
      </c>
      <c r="E53" s="960">
        <v>35000</v>
      </c>
      <c r="G53" s="956">
        <f>E53*$C$53</f>
        <v>35000</v>
      </c>
      <c r="I53" s="956">
        <f>G53*$C$53</f>
        <v>35000</v>
      </c>
      <c r="K53" s="956">
        <f>I53*$C$53</f>
        <v>35000</v>
      </c>
      <c r="M53" s="956">
        <f>K53*$C$53</f>
        <v>35000</v>
      </c>
      <c r="O53" s="956">
        <f>M53*$C$53</f>
        <v>35000</v>
      </c>
      <c r="Q53" s="956">
        <f>O53*$C$53</f>
        <v>35000</v>
      </c>
      <c r="S53" s="956">
        <f>Q53*$C$53</f>
        <v>35000</v>
      </c>
      <c r="U53" s="956">
        <f>S53*$C$53</f>
        <v>35000</v>
      </c>
      <c r="W53" s="956">
        <f>U53*$C$53</f>
        <v>35000</v>
      </c>
      <c r="Y53" s="956">
        <f>W53*$C$53</f>
        <v>35000</v>
      </c>
      <c r="AA53" s="956">
        <f>Y53*$C$53</f>
        <v>35000</v>
      </c>
      <c r="AC53" s="956">
        <f>AA53*$C$53</f>
        <v>35000</v>
      </c>
      <c r="AE53" s="956">
        <f>AC53*$C$53</f>
        <v>35000</v>
      </c>
      <c r="AG53" s="956">
        <f>AE53*$C$53</f>
        <v>35000</v>
      </c>
    </row>
    <row r="54" spans="1:34" s="3" customFormat="1">
      <c r="A54" s="3" t="s">
        <v>855</v>
      </c>
      <c r="C54" s="954"/>
      <c r="E54" s="961">
        <v>5000</v>
      </c>
      <c r="F54" s="956"/>
      <c r="G54" s="956">
        <f t="shared" ref="G54:AG57" si="1">E54*$C$53</f>
        <v>5000</v>
      </c>
      <c r="H54" s="956"/>
      <c r="I54" s="956">
        <f t="shared" si="1"/>
        <v>5000</v>
      </c>
      <c r="J54" s="956"/>
      <c r="K54" s="956">
        <f t="shared" si="1"/>
        <v>5000</v>
      </c>
      <c r="L54" s="956"/>
      <c r="M54" s="956">
        <f t="shared" si="1"/>
        <v>5000</v>
      </c>
      <c r="N54" s="956"/>
      <c r="O54" s="956">
        <f t="shared" si="1"/>
        <v>5000</v>
      </c>
      <c r="P54" s="956"/>
      <c r="Q54" s="956">
        <f t="shared" si="1"/>
        <v>5000</v>
      </c>
      <c r="R54" s="956"/>
      <c r="S54" s="956">
        <f t="shared" si="1"/>
        <v>5000</v>
      </c>
      <c r="T54" s="956"/>
      <c r="U54" s="956">
        <f t="shared" si="1"/>
        <v>5000</v>
      </c>
      <c r="V54" s="956"/>
      <c r="W54" s="956">
        <f t="shared" si="1"/>
        <v>5000</v>
      </c>
      <c r="X54" s="956"/>
      <c r="Y54" s="956">
        <f t="shared" si="1"/>
        <v>5000</v>
      </c>
      <c r="Z54" s="956"/>
      <c r="AA54" s="956">
        <f t="shared" si="1"/>
        <v>5000</v>
      </c>
      <c r="AB54" s="956"/>
      <c r="AC54" s="956">
        <f t="shared" si="1"/>
        <v>5000</v>
      </c>
      <c r="AD54" s="956"/>
      <c r="AE54" s="956">
        <f t="shared" si="1"/>
        <v>5000</v>
      </c>
      <c r="AF54" s="956"/>
      <c r="AG54" s="956">
        <f t="shared" si="1"/>
        <v>5000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40000</v>
      </c>
      <c r="F58" s="956"/>
      <c r="G58" s="956">
        <f>SUM(G53:G57)</f>
        <v>40000</v>
      </c>
      <c r="H58" s="956"/>
      <c r="I58" s="956">
        <f>SUM(I53:I57)</f>
        <v>40000</v>
      </c>
      <c r="J58" s="956"/>
      <c r="K58" s="956">
        <f>SUM(K53:K57)</f>
        <v>40000</v>
      </c>
      <c r="L58" s="956"/>
      <c r="M58" s="956">
        <f>SUM(M53:M57)</f>
        <v>40000</v>
      </c>
      <c r="N58" s="956"/>
      <c r="O58" s="956">
        <f>SUM(O53:O57)</f>
        <v>40000</v>
      </c>
      <c r="P58" s="956"/>
      <c r="Q58" s="956">
        <f>SUM(Q53:Q57)</f>
        <v>40000</v>
      </c>
      <c r="R58" s="956"/>
      <c r="S58" s="956">
        <f>SUM(S53:S57)</f>
        <v>40000</v>
      </c>
      <c r="T58" s="956"/>
      <c r="U58" s="956">
        <f>SUM(U53:U57)</f>
        <v>40000</v>
      </c>
      <c r="V58" s="956"/>
      <c r="W58" s="956">
        <f>SUM(W53:W57)</f>
        <v>40000</v>
      </c>
      <c r="X58" s="956"/>
      <c r="Y58" s="956">
        <f>SUM(Y53:Y57)</f>
        <v>40000</v>
      </c>
      <c r="Z58" s="956"/>
      <c r="AA58" s="956">
        <f>SUM(AA53:AA57)</f>
        <v>40000</v>
      </c>
      <c r="AB58" s="956"/>
      <c r="AC58" s="956">
        <f>SUM(AC53:AC57)</f>
        <v>40000</v>
      </c>
      <c r="AD58" s="956"/>
      <c r="AE58" s="956">
        <f>SUM(AE53:AE57)</f>
        <v>40000</v>
      </c>
      <c r="AF58" s="956"/>
      <c r="AG58" s="956">
        <f>SUM(AG53:AG57)</f>
        <v>40000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63134.600000000093</v>
      </c>
      <c r="G60" s="958">
        <f>G45-G58</f>
        <v>75852.77500000014</v>
      </c>
      <c r="I60" s="958">
        <f>I45-I58</f>
        <v>88519.443874999415</v>
      </c>
      <c r="K60" s="958">
        <f>K45-K58</f>
        <v>101120.34881237498</v>
      </c>
      <c r="M60" s="958">
        <f>M45-M58</f>
        <v>113640.42081776168</v>
      </c>
      <c r="O60" s="958">
        <f>O45-O58</f>
        <v>126063.74350412306</v>
      </c>
      <c r="Q60" s="958">
        <f>Q45-Q58</f>
        <v>138373.51541763265</v>
      </c>
      <c r="S60" s="958">
        <f>S45-S58</f>
        <v>150552.01084425068</v>
      </c>
      <c r="U60" s="958">
        <f>U45-U58</f>
        <v>162580.53903881577</v>
      </c>
      <c r="W60" s="958">
        <f>W45-W58</f>
        <v>174439.40181627474</v>
      </c>
      <c r="Y60" s="958">
        <f>Y45-Y58</f>
        <v>186107.84944244451</v>
      </c>
      <c r="AA60" s="958">
        <f>AA45-AA58</f>
        <v>197564.0347593925</v>
      </c>
      <c r="AC60" s="958">
        <f>AC45-AC58</f>
        <v>208784.96547808731</v>
      </c>
      <c r="AE60" s="958">
        <f>AE45-AE58</f>
        <v>219746.45456850249</v>
      </c>
      <c r="AG60" s="958">
        <f>AG45-AG58</f>
        <v>230423.06867474224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v>
      </c>
      <c r="E62" s="960">
        <f>E60*$C$62</f>
        <v>0</v>
      </c>
      <c r="G62" s="958">
        <f>G60*$C$62</f>
        <v>0</v>
      </c>
      <c r="I62" s="958">
        <f>I60*$C$62</f>
        <v>0</v>
      </c>
      <c r="K62" s="958">
        <f>K60*$C$62</f>
        <v>0</v>
      </c>
      <c r="M62" s="958">
        <f>M60*$C$62</f>
        <v>0</v>
      </c>
      <c r="O62" s="958">
        <f>O60*$C$62</f>
        <v>0</v>
      </c>
      <c r="Q62" s="958">
        <f>Q60*$C$62</f>
        <v>0</v>
      </c>
      <c r="S62" s="958">
        <f>S60*$C$62</f>
        <v>0</v>
      </c>
      <c r="U62" s="958">
        <f>U60*$C$62</f>
        <v>0</v>
      </c>
      <c r="W62" s="958">
        <f>W60*$C$62</f>
        <v>0</v>
      </c>
      <c r="Y62" s="958">
        <f>Y60*$C$62</f>
        <v>0</v>
      </c>
      <c r="AA62" s="958">
        <f>AA60*$C$62</f>
        <v>0</v>
      </c>
      <c r="AC62" s="958">
        <f>AC60*$C$62</f>
        <v>0</v>
      </c>
      <c r="AE62" s="958">
        <f>AE60*$C$62</f>
        <v>0</v>
      </c>
      <c r="AG62" s="958">
        <f>AG60*$C$62</f>
        <v>0</v>
      </c>
    </row>
    <row r="63" spans="1:34" s="958" customFormat="1">
      <c r="A63" s="2704" t="s">
        <v>1183</v>
      </c>
      <c r="B63" s="2704"/>
      <c r="C63" s="2704"/>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2757</v>
      </c>
      <c r="B66" s="960"/>
      <c r="C66" s="959">
        <v>0.25</v>
      </c>
      <c r="E66" s="960">
        <f>E$60*$C66</f>
        <v>15783.650000000023</v>
      </c>
      <c r="G66" s="956">
        <f>G$60*$C66</f>
        <v>18963.193750000035</v>
      </c>
      <c r="I66" s="956">
        <f>I$60*$C66</f>
        <v>22129.860968749854</v>
      </c>
      <c r="K66" s="956">
        <f>K$60*$C66</f>
        <v>25280.087203093746</v>
      </c>
      <c r="M66" s="956">
        <f>M$60*$C66</f>
        <v>28410.10520444042</v>
      </c>
      <c r="O66" s="956">
        <f>O$60*$C66</f>
        <v>31515.935876030766</v>
      </c>
      <c r="Q66" s="956">
        <f>Q$60*$C66</f>
        <v>34593.378854408162</v>
      </c>
      <c r="S66" s="956">
        <f>S$60*$C66</f>
        <v>37638.002711062669</v>
      </c>
      <c r="U66" s="956">
        <f>U$60*$C66</f>
        <v>40645.134759703942</v>
      </c>
      <c r="W66" s="956">
        <f>W$60*$C66</f>
        <v>43609.850454068684</v>
      </c>
      <c r="Y66" s="956">
        <f>Y$60*$C66</f>
        <v>46526.962360611127</v>
      </c>
      <c r="AA66" s="958">
        <f>AA$60*$C66</f>
        <v>49391.008689848124</v>
      </c>
      <c r="AC66" s="956">
        <f>AC$60*$C66</f>
        <v>52196.241369521827</v>
      </c>
      <c r="AE66" s="956">
        <f>AE$60*$C66</f>
        <v>54936.613642125623</v>
      </c>
      <c r="AG66" s="956">
        <f>AG$60*$C66</f>
        <v>57605.767168685561</v>
      </c>
    </row>
    <row r="67" spans="1:34" s="956" customFormat="1">
      <c r="A67" s="961" t="s">
        <v>2758</v>
      </c>
      <c r="B67" s="961"/>
      <c r="C67" s="959">
        <v>0.25</v>
      </c>
      <c r="E67" s="960">
        <f t="shared" ref="E67:AG68" si="2">E$60*$C67</f>
        <v>15783.650000000023</v>
      </c>
      <c r="G67" s="956">
        <f t="shared" si="2"/>
        <v>18963.193750000035</v>
      </c>
      <c r="I67" s="956">
        <f t="shared" si="2"/>
        <v>22129.860968749854</v>
      </c>
      <c r="K67" s="956">
        <f t="shared" si="2"/>
        <v>25280.087203093746</v>
      </c>
      <c r="M67" s="956">
        <f t="shared" si="2"/>
        <v>28410.10520444042</v>
      </c>
      <c r="O67" s="956">
        <f t="shared" si="2"/>
        <v>31515.935876030766</v>
      </c>
      <c r="Q67" s="956">
        <f t="shared" si="2"/>
        <v>34593.378854408162</v>
      </c>
      <c r="S67" s="956">
        <f t="shared" si="2"/>
        <v>37638.002711062669</v>
      </c>
      <c r="U67" s="956">
        <f t="shared" si="2"/>
        <v>40645.134759703942</v>
      </c>
      <c r="W67" s="956">
        <f t="shared" si="2"/>
        <v>43609.850454068684</v>
      </c>
      <c r="Y67" s="956">
        <f t="shared" si="2"/>
        <v>46526.962360611127</v>
      </c>
      <c r="AA67" s="958">
        <f t="shared" si="2"/>
        <v>49391.008689848124</v>
      </c>
      <c r="AC67" s="956">
        <f t="shared" si="2"/>
        <v>52196.241369521827</v>
      </c>
      <c r="AE67" s="956">
        <f t="shared" si="2"/>
        <v>54936.613642125623</v>
      </c>
      <c r="AG67" s="956">
        <f t="shared" si="2"/>
        <v>57605.767168685561</v>
      </c>
    </row>
    <row r="68" spans="1:34" s="956" customFormat="1">
      <c r="A68" s="961" t="s">
        <v>2759</v>
      </c>
      <c r="B68" s="961"/>
      <c r="C68" s="959">
        <v>0.5</v>
      </c>
      <c r="E68" s="960">
        <f t="shared" si="2"/>
        <v>31567.300000000047</v>
      </c>
      <c r="G68" s="956">
        <f t="shared" si="2"/>
        <v>37926.38750000007</v>
      </c>
      <c r="I68" s="956">
        <f t="shared" si="2"/>
        <v>44259.721937499708</v>
      </c>
      <c r="K68" s="956">
        <f t="shared" si="2"/>
        <v>50560.174406187492</v>
      </c>
      <c r="M68" s="956">
        <f t="shared" si="2"/>
        <v>56820.210408880841</v>
      </c>
      <c r="O68" s="956">
        <f t="shared" si="2"/>
        <v>63031.871752061532</v>
      </c>
      <c r="Q68" s="956">
        <f t="shared" si="2"/>
        <v>69186.757708816323</v>
      </c>
      <c r="S68" s="956">
        <f t="shared" si="2"/>
        <v>75276.005422125338</v>
      </c>
      <c r="U68" s="956">
        <f t="shared" si="2"/>
        <v>81290.269519407884</v>
      </c>
      <c r="W68" s="956">
        <f t="shared" si="2"/>
        <v>87219.700908137369</v>
      </c>
      <c r="Y68" s="956">
        <f t="shared" si="2"/>
        <v>93053.924721222254</v>
      </c>
      <c r="AA68" s="958">
        <f t="shared" si="2"/>
        <v>98782.017379696248</v>
      </c>
      <c r="AC68" s="956">
        <f t="shared" si="2"/>
        <v>104392.48273904365</v>
      </c>
      <c r="AE68" s="956">
        <f t="shared" si="2"/>
        <v>109873.22728425125</v>
      </c>
      <c r="AG68" s="956">
        <f t="shared" si="2"/>
        <v>115211.53433737112</v>
      </c>
    </row>
    <row r="69" spans="1:34" s="956" customFormat="1">
      <c r="A69" s="961"/>
      <c r="B69" s="961"/>
      <c r="C69" s="966"/>
      <c r="E69" s="963"/>
      <c r="G69" s="964">
        <f t="shared" ref="G69:AG69" si="3">E69*$C$66</f>
        <v>0</v>
      </c>
      <c r="I69" s="964">
        <f t="shared" si="3"/>
        <v>0</v>
      </c>
      <c r="K69" s="964">
        <f t="shared" si="3"/>
        <v>0</v>
      </c>
      <c r="M69" s="964">
        <f t="shared" si="3"/>
        <v>0</v>
      </c>
      <c r="O69" s="964">
        <f t="shared" si="3"/>
        <v>0</v>
      </c>
      <c r="Q69" s="964">
        <f t="shared" si="3"/>
        <v>0</v>
      </c>
      <c r="S69" s="964">
        <f t="shared" si="3"/>
        <v>0</v>
      </c>
      <c r="U69" s="964">
        <f t="shared" si="3"/>
        <v>0</v>
      </c>
      <c r="W69" s="964">
        <f t="shared" si="3"/>
        <v>0</v>
      </c>
      <c r="Y69" s="964">
        <f t="shared" si="3"/>
        <v>0</v>
      </c>
      <c r="AA69" s="964">
        <f t="shared" si="3"/>
        <v>0</v>
      </c>
      <c r="AC69" s="964">
        <f t="shared" si="3"/>
        <v>0</v>
      </c>
      <c r="AE69" s="964">
        <f t="shared" si="3"/>
        <v>0</v>
      </c>
      <c r="AG69" s="964">
        <f t="shared" si="3"/>
        <v>0</v>
      </c>
    </row>
    <row r="70" spans="1:34" s="956" customFormat="1">
      <c r="A70" s="958" t="s">
        <v>853</v>
      </c>
      <c r="C70" s="966"/>
      <c r="E70" s="956">
        <f>SUM(E66:E69)</f>
        <v>63134.600000000093</v>
      </c>
      <c r="G70" s="956">
        <f>SUM(G66:G69)</f>
        <v>75852.77500000014</v>
      </c>
      <c r="I70" s="956">
        <f>SUM(I66:I69)</f>
        <v>88519.443874999415</v>
      </c>
      <c r="K70" s="956">
        <f>SUM(K66:K69)</f>
        <v>101120.34881237498</v>
      </c>
      <c r="M70" s="956">
        <f>SUM(M66:M69)</f>
        <v>113640.42081776168</v>
      </c>
      <c r="O70" s="956">
        <f>SUM(O66:O69)</f>
        <v>126063.74350412306</v>
      </c>
      <c r="Q70" s="956">
        <f>SUM(Q66:Q69)</f>
        <v>138373.51541763265</v>
      </c>
      <c r="S70" s="956">
        <f>SUM(S66:S69)</f>
        <v>150552.01084425068</v>
      </c>
      <c r="U70" s="956">
        <f>SUM(U66:U69)</f>
        <v>162580.53903881577</v>
      </c>
      <c r="W70" s="956">
        <f>SUM(W66:W69)</f>
        <v>174439.40181627474</v>
      </c>
      <c r="Y70" s="956">
        <f>SUM(Y66:Y69)</f>
        <v>186107.84944244451</v>
      </c>
      <c r="AA70" s="956">
        <f>SUM(AA66:AA69)</f>
        <v>197564.0347593925</v>
      </c>
      <c r="AC70" s="956">
        <f>SUM(AC66:AC69)</f>
        <v>208784.96547808731</v>
      </c>
      <c r="AE70" s="956">
        <f>SUM(AE66:AE69)</f>
        <v>219746.45456850249</v>
      </c>
      <c r="AG70" s="956">
        <f>SUM(AG66:AG69)</f>
        <v>230423.06867474224</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702" t="s">
        <v>1709</v>
      </c>
      <c r="B77" s="2703"/>
      <c r="C77" s="2703"/>
      <c r="D77" s="2703"/>
      <c r="E77" s="2703"/>
      <c r="F77" s="2703"/>
      <c r="G77" s="2703"/>
      <c r="H77" s="2703"/>
      <c r="I77" s="2703"/>
      <c r="J77" s="2703"/>
      <c r="K77" s="2703"/>
      <c r="L77" s="2703"/>
      <c r="M77" s="2703"/>
      <c r="N77" s="2703"/>
      <c r="O77" s="2703"/>
      <c r="P77" s="2703"/>
      <c r="Q77" s="2703"/>
      <c r="R77" s="2703"/>
      <c r="S77" s="2703"/>
      <c r="T77" s="2703"/>
      <c r="U77" s="2703"/>
      <c r="V77" s="2703"/>
      <c r="W77" s="2703"/>
      <c r="X77" s="2703"/>
      <c r="Y77" s="2703"/>
      <c r="Z77" s="2703"/>
      <c r="AA77" s="2703"/>
      <c r="AB77" s="2703"/>
      <c r="AC77" s="2703"/>
      <c r="AD77" s="2703"/>
      <c r="AE77" s="2703"/>
      <c r="AF77" s="2703"/>
      <c r="AG77" s="270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2600000</v>
      </c>
      <c r="C5" s="266">
        <f>'Sources and Uses Budget'!$C4</f>
        <v>2600000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43049</v>
      </c>
      <c r="C7" s="266">
        <f>'Sources and Uses Budget'!$C6</f>
        <v>43049</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2643049</v>
      </c>
      <c r="C9" s="270">
        <f>SUM(C5:C8)</f>
        <v>2643049</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2643049</v>
      </c>
      <c r="C13" s="270">
        <f>SUM(C9+C12)</f>
        <v>2643049</v>
      </c>
      <c r="D13" s="270">
        <f t="shared" si="0"/>
        <v>0</v>
      </c>
      <c r="E13" s="268"/>
      <c r="F13" s="267"/>
    </row>
    <row r="14" spans="1:6" s="352" customFormat="1">
      <c r="A14" s="366" t="s">
        <v>902</v>
      </c>
      <c r="B14" s="266">
        <f>'Sources and Uses Budget'!$C13</f>
        <v>1736616</v>
      </c>
      <c r="C14" s="266">
        <f>'Sources and Uses Budget'!$C13</f>
        <v>1736616</v>
      </c>
      <c r="D14" s="270">
        <f t="shared" si="0"/>
        <v>0</v>
      </c>
      <c r="E14" s="268"/>
      <c r="F14" s="267"/>
    </row>
    <row r="15" spans="1:6" s="352" customFormat="1" ht="22.8">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2000000</v>
      </c>
      <c r="C30" s="266">
        <f>'Sources and Uses Budget'!$C29</f>
        <v>2000000</v>
      </c>
      <c r="D30" s="270">
        <f t="shared" si="0"/>
        <v>0</v>
      </c>
      <c r="E30" s="268"/>
      <c r="F30" s="267"/>
    </row>
    <row r="31" spans="1:6" s="352" customFormat="1">
      <c r="A31" s="145" t="s">
        <v>599</v>
      </c>
      <c r="B31" s="266">
        <f>'Sources and Uses Budget'!$C30</f>
        <v>31372780</v>
      </c>
      <c r="C31" s="266">
        <f>'Sources and Uses Budget'!$C30</f>
        <v>31372780</v>
      </c>
      <c r="D31" s="270">
        <f t="shared" si="0"/>
        <v>0</v>
      </c>
      <c r="E31" s="268"/>
      <c r="F31" s="267"/>
    </row>
    <row r="32" spans="1:6" s="352" customFormat="1">
      <c r="A32" s="145" t="s">
        <v>600</v>
      </c>
      <c r="B32" s="266">
        <f>'Sources and Uses Budget'!$C31</f>
        <v>1939130</v>
      </c>
      <c r="C32" s="266">
        <f>'Sources and Uses Budget'!$C31</f>
        <v>1939130</v>
      </c>
      <c r="D32" s="270">
        <f t="shared" si="0"/>
        <v>0</v>
      </c>
      <c r="E32" s="268"/>
      <c r="F32" s="267"/>
    </row>
    <row r="33" spans="1:6" s="352" customFormat="1">
      <c r="A33" s="145" t="s">
        <v>137</v>
      </c>
      <c r="B33" s="266">
        <f>'Sources and Uses Budget'!$C32</f>
        <v>682807</v>
      </c>
      <c r="C33" s="266">
        <f>'Sources and Uses Budget'!$C32</f>
        <v>682807</v>
      </c>
      <c r="D33" s="270">
        <f t="shared" si="0"/>
        <v>0</v>
      </c>
      <c r="E33" s="268"/>
      <c r="F33" s="267"/>
    </row>
    <row r="34" spans="1:6" s="352" customFormat="1">
      <c r="A34" s="145" t="s">
        <v>138</v>
      </c>
      <c r="B34" s="266">
        <f>'Sources and Uses Budget'!$C33</f>
        <v>2055283</v>
      </c>
      <c r="C34" s="266">
        <f>'Sources and Uses Budget'!$C33</f>
        <v>2055283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950000</v>
      </c>
      <c r="C36" s="266">
        <f>'Sources and Uses Budget'!$C35</f>
        <v>950000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39000000</v>
      </c>
      <c r="C39" s="270">
        <f>SUM(C30:C38)</f>
        <v>39000000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925585</v>
      </c>
      <c r="C41" s="266">
        <f>'Sources and Uses Budget'!$C40</f>
        <v>925585</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925585</v>
      </c>
      <c r="C43" s="270">
        <f>SUM(C41:C42)</f>
        <v>925585</v>
      </c>
      <c r="D43" s="270">
        <f t="shared" si="0"/>
        <v>0</v>
      </c>
      <c r="E43" s="268"/>
      <c r="F43" s="267"/>
    </row>
    <row r="44" spans="1:6" s="352" customFormat="1">
      <c r="A44" s="271" t="s">
        <v>148</v>
      </c>
      <c r="B44" s="266">
        <f>'Sources and Uses Budget'!$C43</f>
        <v>1069067</v>
      </c>
      <c r="C44" s="266">
        <f>'Sources and Uses Budget'!$C43</f>
        <v>1069067</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1750000</v>
      </c>
      <c r="C46" s="266">
        <f>'Sources and Uses Budget'!$C45</f>
        <v>1750000</v>
      </c>
      <c r="D46" s="270">
        <f t="shared" si="0"/>
        <v>0</v>
      </c>
      <c r="E46" s="268"/>
      <c r="F46" s="267"/>
    </row>
    <row r="47" spans="1:6" s="352" customFormat="1">
      <c r="A47" s="145" t="s">
        <v>151</v>
      </c>
      <c r="B47" s="266">
        <f>'Sources and Uses Budget'!$C46</f>
        <v>522490</v>
      </c>
      <c r="C47" s="266">
        <f>'Sources and Uses Budget'!$C46</f>
        <v>522490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500000</v>
      </c>
      <c r="C50" s="266">
        <f>'Sources and Uses Budget'!$C49</f>
        <v>500000</v>
      </c>
      <c r="D50" s="270">
        <f t="shared" si="0"/>
        <v>0</v>
      </c>
      <c r="E50" s="268"/>
      <c r="F50" s="267"/>
    </row>
    <row r="51" spans="1:6" s="352" customFormat="1">
      <c r="A51" s="145" t="s">
        <v>156</v>
      </c>
      <c r="B51" s="266">
        <f>'Sources and Uses Budget'!$C50</f>
        <v>85000</v>
      </c>
      <c r="C51" s="266">
        <f>'Sources and Uses Budget'!$C50</f>
        <v>85000</v>
      </c>
      <c r="D51" s="270">
        <f t="shared" si="0"/>
        <v>0</v>
      </c>
      <c r="E51" s="268"/>
      <c r="F51" s="267"/>
    </row>
    <row r="52" spans="1:6" s="352" customFormat="1">
      <c r="A52" s="283" t="s">
        <v>154</v>
      </c>
      <c r="B52" s="266">
        <f>'Sources and Uses Budget'!$C51</f>
        <v>95334</v>
      </c>
      <c r="C52" s="266">
        <f>'Sources and Uses Budget'!$C51</f>
        <v>95334</v>
      </c>
      <c r="D52" s="270">
        <f t="shared" si="0"/>
        <v>0</v>
      </c>
      <c r="E52" s="268"/>
      <c r="F52" s="267"/>
    </row>
    <row r="53" spans="1:6" s="352" customFormat="1">
      <c r="A53" s="145" t="s">
        <v>155</v>
      </c>
      <c r="B53" s="266">
        <f>'Sources and Uses Budget'!$C52</f>
        <v>650000</v>
      </c>
      <c r="C53" s="266">
        <f>'Sources and Uses Budget'!$C52</f>
        <v>650000</v>
      </c>
      <c r="D53" s="270">
        <f t="shared" si="0"/>
        <v>0</v>
      </c>
      <c r="E53" s="268"/>
      <c r="F53" s="267"/>
    </row>
    <row r="54" spans="1:6" s="352" customFormat="1" ht="22.8">
      <c r="A54" s="155" t="str">
        <f>'Sources and Uses Budget'!A53</f>
        <v>Other: Construction Managemenr, Lender Inspections</v>
      </c>
      <c r="B54" s="266">
        <f>'Sources and Uses Budget'!$C53</f>
        <v>271639</v>
      </c>
      <c r="C54" s="266">
        <f>'Sources and Uses Budget'!$C53</f>
        <v>271639</v>
      </c>
      <c r="D54" s="270">
        <f t="shared" si="0"/>
        <v>0</v>
      </c>
      <c r="E54" s="268"/>
      <c r="F54" s="267"/>
    </row>
    <row r="55" spans="1:6" s="353" customFormat="1">
      <c r="A55" s="271" t="s">
        <v>157</v>
      </c>
      <c r="B55" s="273">
        <f>SUM(B46:B54)</f>
        <v>3874463</v>
      </c>
      <c r="C55" s="273">
        <f>SUM(C46:C54)</f>
        <v>3874463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95926</v>
      </c>
      <c r="C57" s="266">
        <f>'Sources and Uses Budget'!$C56</f>
        <v>95926</v>
      </c>
      <c r="D57" s="270">
        <f t="shared" si="0"/>
        <v>0</v>
      </c>
      <c r="E57" s="268"/>
      <c r="F57" s="267"/>
    </row>
    <row r="58" spans="1:6" s="352" customFormat="1" ht="12" customHeight="1">
      <c r="A58" s="269" t="s">
        <v>152</v>
      </c>
      <c r="B58" s="266">
        <f>'Sources and Uses Budget'!$C57</f>
        <v>50000</v>
      </c>
      <c r="C58" s="266">
        <f>'Sources and Uses Budget'!$C57</f>
        <v>50000</v>
      </c>
      <c r="D58" s="270">
        <f t="shared" si="0"/>
        <v>0</v>
      </c>
      <c r="E58" s="268"/>
      <c r="F58" s="267"/>
    </row>
    <row r="59" spans="1:6" s="352" customFormat="1">
      <c r="A59" s="269" t="s">
        <v>156</v>
      </c>
      <c r="B59" s="266">
        <f>'Sources and Uses Budget'!$C58</f>
        <v>150000</v>
      </c>
      <c r="C59" s="266">
        <f>'Sources and Uses Budget'!$C58</f>
        <v>150000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6.4">
      <c r="A62" s="1014" t="str">
        <f>'Sources and Uses Budget'!A61</f>
        <v>Other: Interest Prior to Conversion (T.E. &amp; Taxable)</v>
      </c>
      <c r="B62" s="266">
        <f>'Sources and Uses Budget'!$C61</f>
        <v>1500000</v>
      </c>
      <c r="C62" s="266">
        <f>'Sources and Uses Budget'!$C61</f>
        <v>1500000</v>
      </c>
      <c r="D62" s="270">
        <f t="shared" si="0"/>
        <v>0</v>
      </c>
      <c r="E62" s="268"/>
      <c r="F62" s="267"/>
    </row>
    <row r="63" spans="1:6" s="352" customFormat="1" ht="13.65" customHeight="1">
      <c r="A63" s="271" t="s">
        <v>301</v>
      </c>
      <c r="B63" s="270">
        <f>SUM(B57:B62)</f>
        <v>1795926</v>
      </c>
      <c r="C63" s="270">
        <f>SUM(C57:C62)</f>
        <v>1795926</v>
      </c>
      <c r="D63" s="270">
        <f t="shared" si="0"/>
        <v>0</v>
      </c>
      <c r="E63" s="268"/>
      <c r="F63" s="267"/>
    </row>
    <row r="64" spans="1:6" s="352" customFormat="1">
      <c r="A64" s="274" t="s">
        <v>302</v>
      </c>
      <c r="B64" s="270">
        <f>SUM(B9+B12+B14+B15+B17+B26+B28+B39+B43+B44+B55+B63)</f>
        <v>51044706</v>
      </c>
      <c r="C64" s="270">
        <f>SUM(C9+C12+C14+C15+C17+C26+C28+C39+C43+C44+C55+C63)</f>
        <v>51044706</v>
      </c>
      <c r="D64" s="270">
        <f t="shared" si="0"/>
        <v>0</v>
      </c>
      <c r="E64" s="268"/>
      <c r="F64" s="267"/>
    </row>
    <row r="65" spans="1:6" s="352" customFormat="1" ht="22.8">
      <c r="A65" s="141" t="s">
        <v>1632</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Partnership &amp; Transaction</v>
      </c>
      <c r="B70" s="266">
        <f>'Sources and Uses Budget'!$C69</f>
        <v>395000</v>
      </c>
      <c r="C70" s="266">
        <f>'Sources and Uses Budget'!$C69</f>
        <v>395000</v>
      </c>
      <c r="D70" s="270">
        <f t="shared" si="0"/>
        <v>0</v>
      </c>
      <c r="E70" s="268"/>
      <c r="F70" s="267"/>
    </row>
    <row r="71" spans="1:6" s="352" customFormat="1">
      <c r="A71" s="149" t="s">
        <v>1633</v>
      </c>
      <c r="B71" s="270">
        <f>SUM(B66:B70)</f>
        <v>495000</v>
      </c>
      <c r="C71" s="270">
        <f>SUM(C66:C70)</f>
        <v>495000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479864</v>
      </c>
      <c r="C76" s="266">
        <f>'Sources and Uses Budget'!$C75</f>
        <v>479864</v>
      </c>
      <c r="D76" s="270">
        <f t="shared" si="0"/>
        <v>0</v>
      </c>
      <c r="E76" s="268"/>
      <c r="F76" s="267"/>
    </row>
    <row r="77" spans="1:6" s="352" customFormat="1">
      <c r="A77" s="272" t="s">
        <v>34</v>
      </c>
      <c r="B77" s="266">
        <f>'Sources and Uses Budget'!$C76</f>
        <v>532472</v>
      </c>
      <c r="C77" s="266">
        <f>'Sources and Uses Budget'!$C76</f>
        <v>532472</v>
      </c>
      <c r="D77" s="270">
        <f t="shared" si="0"/>
        <v>0</v>
      </c>
      <c r="E77" s="268"/>
      <c r="F77" s="267"/>
    </row>
    <row r="78" spans="1:6" s="352" customFormat="1">
      <c r="A78" s="271" t="s">
        <v>606</v>
      </c>
      <c r="B78" s="270">
        <f>SUM(B73:B77)</f>
        <v>1012336</v>
      </c>
      <c r="C78" s="270">
        <f>SUM(C73:C77)</f>
        <v>1012336</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3900000</v>
      </c>
      <c r="C80" s="266">
        <f>'Sources and Uses Budget'!$C79</f>
        <v>3900000</v>
      </c>
      <c r="D80" s="270">
        <f t="shared" si="1"/>
        <v>0</v>
      </c>
      <c r="E80" s="268"/>
      <c r="F80" s="267"/>
    </row>
    <row r="81" spans="1:6" s="352" customFormat="1">
      <c r="A81" s="510" t="s">
        <v>58</v>
      </c>
      <c r="B81" s="266">
        <f>'Sources and Uses Budget'!$C80</f>
        <v>445124</v>
      </c>
      <c r="C81" s="266">
        <f>'Sources and Uses Budget'!$C80</f>
        <v>445124</v>
      </c>
      <c r="D81" s="270">
        <f>C81-B81</f>
        <v>0</v>
      </c>
      <c r="E81" s="268"/>
      <c r="F81" s="267"/>
    </row>
    <row r="82" spans="1:6" s="352" customFormat="1">
      <c r="A82" s="271" t="s">
        <v>1208</v>
      </c>
      <c r="B82" s="270">
        <f>SUM(B80:B81)</f>
        <v>4345124</v>
      </c>
      <c r="C82" s="270">
        <f>SUM(C80:C81)</f>
        <v>4345124</v>
      </c>
      <c r="D82" s="270">
        <f t="shared" si="1"/>
        <v>0</v>
      </c>
      <c r="E82" s="268"/>
      <c r="F82" s="267"/>
    </row>
    <row r="83" spans="1:6" s="352" customFormat="1">
      <c r="A83" s="264" t="s">
        <v>765</v>
      </c>
      <c r="B83" s="264"/>
      <c r="C83" s="264"/>
      <c r="D83" s="264"/>
      <c r="E83" s="282"/>
      <c r="F83" s="264"/>
    </row>
    <row r="84" spans="1:6" s="352" customFormat="1" ht="13.65" customHeight="1">
      <c r="A84" s="269" t="s">
        <v>766</v>
      </c>
      <c r="B84" s="266">
        <f>'Sources and Uses Budget'!$C83</f>
        <v>230062</v>
      </c>
      <c r="C84" s="266">
        <f>'Sources and Uses Budget'!$C83</f>
        <v>230062</v>
      </c>
      <c r="D84" s="270">
        <f t="shared" si="1"/>
        <v>0</v>
      </c>
      <c r="E84" s="268"/>
      <c r="F84" s="267"/>
    </row>
    <row r="85" spans="1:6" s="352" customFormat="1">
      <c r="A85" s="269" t="s">
        <v>767</v>
      </c>
      <c r="B85" s="266">
        <f>'Sources and Uses Budget'!$C84</f>
        <v>45000</v>
      </c>
      <c r="C85" s="266">
        <f>'Sources and Uses Budget'!$C84</f>
        <v>45000</v>
      </c>
      <c r="D85" s="270">
        <f t="shared" si="1"/>
        <v>0</v>
      </c>
      <c r="E85" s="268"/>
      <c r="F85" s="267"/>
    </row>
    <row r="86" spans="1:6" s="352" customFormat="1">
      <c r="A86" s="269" t="s">
        <v>768</v>
      </c>
      <c r="B86" s="266">
        <f>'Sources and Uses Budget'!$C85</f>
        <v>543638</v>
      </c>
      <c r="C86" s="266">
        <f>'Sources and Uses Budget'!$C85</f>
        <v>543638</v>
      </c>
      <c r="D86" s="270">
        <f t="shared" si="1"/>
        <v>0</v>
      </c>
      <c r="E86" s="268"/>
      <c r="F86" s="267"/>
    </row>
    <row r="87" spans="1:6" s="352" customFormat="1">
      <c r="A87" s="269" t="s">
        <v>769</v>
      </c>
      <c r="B87" s="266">
        <f>'Sources and Uses Budget'!$C86</f>
        <v>1133662</v>
      </c>
      <c r="C87" s="266">
        <f>'Sources and Uses Budget'!$C86</f>
        <v>1133662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57411</v>
      </c>
      <c r="C89" s="266">
        <f>'Sources and Uses Budget'!$C88</f>
        <v>57411</v>
      </c>
      <c r="D89" s="270">
        <f t="shared" si="1"/>
        <v>0</v>
      </c>
      <c r="E89" s="268"/>
      <c r="F89" s="267"/>
    </row>
    <row r="90" spans="1:6" s="352" customFormat="1">
      <c r="A90" s="269" t="s">
        <v>772</v>
      </c>
      <c r="B90" s="266">
        <f>'Sources and Uses Budget'!$C89</f>
        <v>483950</v>
      </c>
      <c r="C90" s="266">
        <f>'Sources and Uses Budget'!$C89</f>
        <v>483950</v>
      </c>
      <c r="D90" s="270">
        <f t="shared" si="1"/>
        <v>0</v>
      </c>
      <c r="E90" s="268"/>
      <c r="F90" s="267"/>
    </row>
    <row r="91" spans="1:6" s="352" customFormat="1">
      <c r="A91" s="269" t="s">
        <v>773</v>
      </c>
      <c r="B91" s="266">
        <f>'Sources and Uses Budget'!$C90</f>
        <v>25000</v>
      </c>
      <c r="C91" s="266">
        <f>'Sources and Uses Budget'!$C90</f>
        <v>25000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147100</v>
      </c>
      <c r="C94" s="266">
        <f>'Sources and Uses Budget'!$C93</f>
        <v>147100</v>
      </c>
      <c r="D94" s="270">
        <f t="shared" si="1"/>
        <v>0</v>
      </c>
      <c r="E94" s="268"/>
      <c r="F94" s="267"/>
    </row>
    <row r="95" spans="1:6" s="352" customFormat="1">
      <c r="A95" s="272" t="s">
        <v>34</v>
      </c>
      <c r="B95" s="266">
        <f>'Sources and Uses Budget'!$C94</f>
        <v>262247</v>
      </c>
      <c r="C95" s="266">
        <f>'Sources and Uses Budget'!$C94</f>
        <v>262247</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2968070</v>
      </c>
      <c r="C97" s="270">
        <f>SUM(C84:C96)</f>
        <v>2968070</v>
      </c>
      <c r="D97" s="270">
        <f t="shared" si="1"/>
        <v>0</v>
      </c>
      <c r="E97" s="268"/>
      <c r="F97" s="267"/>
    </row>
    <row r="98" spans="1:6" s="352" customFormat="1">
      <c r="A98" s="271" t="s">
        <v>775</v>
      </c>
      <c r="B98" s="270">
        <f>SUM(B64+B71+B78+B82+B97)</f>
        <v>59865236</v>
      </c>
      <c r="C98" s="270">
        <f>SUM(C64+C71+C78+C82+C97)</f>
        <v>59865236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4000000</v>
      </c>
      <c r="C100" s="266">
        <f>'Sources and Uses Budget'!$C99</f>
        <v>4000000</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4000000</v>
      </c>
      <c r="C105" s="270">
        <f>SUM(C100:C104)</f>
        <v>4000000</v>
      </c>
      <c r="D105" s="270">
        <f t="shared" si="1"/>
        <v>0</v>
      </c>
      <c r="E105" s="268"/>
      <c r="F105" s="267"/>
    </row>
    <row r="106" spans="1:6" s="352" customFormat="1">
      <c r="A106" s="271" t="s">
        <v>780</v>
      </c>
      <c r="B106" s="273">
        <f>SUM(B98+B105)</f>
        <v>63865236</v>
      </c>
      <c r="C106" s="273">
        <f>SUM(C98+C105)</f>
        <v>63865236</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80" t="s">
        <v>1841</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3.2"/>
    <row r="4" spans="1:10" ht="12.75" customHeight="1">
      <c r="A4" s="1282" t="s">
        <v>2004</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3.2"/>
    <row r="10" spans="1:10" ht="12.75" customHeight="1">
      <c r="A10" s="1286" t="s">
        <v>1846</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1845</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5" t="s">
        <v>1188</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2" t="s">
        <v>1189</v>
      </c>
      <c r="B76" s="1282"/>
      <c r="C76" s="1282"/>
      <c r="D76" s="1282"/>
      <c r="E76" s="1282"/>
      <c r="F76" s="1282"/>
      <c r="G76" s="1282"/>
      <c r="H76" s="1282"/>
      <c r="I76" s="1282"/>
      <c r="J76" s="1282"/>
    </row>
    <row r="77" spans="1:10" ht="13.2">
      <c r="A77" s="1282"/>
      <c r="B77" s="1282"/>
      <c r="C77" s="1282"/>
      <c r="D77" s="1282"/>
      <c r="E77" s="1282"/>
      <c r="F77" s="1282"/>
      <c r="G77" s="1282"/>
      <c r="H77" s="1282"/>
      <c r="I77" s="1282"/>
      <c r="J77" s="1282"/>
    </row>
    <row r="78" spans="1:10" ht="13.2">
      <c r="A78" s="1282"/>
      <c r="B78" s="1282"/>
      <c r="C78" s="1282"/>
      <c r="D78" s="1282"/>
      <c r="E78" s="1282"/>
      <c r="F78" s="1282"/>
      <c r="G78" s="1282"/>
      <c r="H78" s="1282"/>
      <c r="I78" s="1282"/>
      <c r="J78" s="1282"/>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283" t="s">
        <v>1842</v>
      </c>
      <c r="B89" s="1283"/>
      <c r="C89" s="1283"/>
      <c r="D89" s="1283"/>
      <c r="E89" s="1283"/>
      <c r="F89" s="1283"/>
      <c r="G89" s="1283"/>
      <c r="H89" s="1283"/>
      <c r="I89" s="1283"/>
    </row>
    <row r="90" spans="1:9" ht="13.2">
      <c r="A90" s="1275" t="s">
        <v>2002</v>
      </c>
      <c r="B90" s="1275"/>
      <c r="C90" s="1275"/>
      <c r="D90" s="1275"/>
      <c r="E90" s="1275"/>
    </row>
    <row r="91" spans="1:9" ht="13.2">
      <c r="A91" s="1275" t="s">
        <v>2003</v>
      </c>
      <c r="B91" s="1275"/>
      <c r="C91" s="1275"/>
      <c r="D91" s="1275"/>
      <c r="E91" s="1275"/>
    </row>
    <row r="92" spans="1:9" ht="13.2">
      <c r="A92" s="1275" t="s">
        <v>1843</v>
      </c>
      <c r="B92" s="1275"/>
      <c r="C92" s="1275"/>
      <c r="D92" s="1275"/>
      <c r="E92" s="1275"/>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338" t="s">
        <v>2599</v>
      </c>
      <c r="B2" s="1338"/>
      <c r="C2" s="1338"/>
      <c r="D2" s="1338"/>
      <c r="E2" s="1338"/>
      <c r="F2" s="1338"/>
      <c r="G2" s="1338"/>
      <c r="H2" s="1338"/>
      <c r="I2" s="1338"/>
    </row>
    <row r="3" spans="1:13">
      <c r="A3" s="1328" t="s">
        <v>2171</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2170</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1100</v>
      </c>
      <c r="B9" s="1307"/>
      <c r="C9" s="1307"/>
      <c r="D9" s="1307"/>
      <c r="E9" s="1307"/>
      <c r="F9" s="1307"/>
      <c r="G9" s="1307"/>
      <c r="H9" s="1023"/>
      <c r="I9" s="1024"/>
    </row>
    <row r="10" spans="1:13">
      <c r="A10" s="482"/>
      <c r="B10" s="482"/>
      <c r="E10" s="404"/>
    </row>
    <row r="11" spans="1:13" ht="13.65" customHeight="1">
      <c r="C11" s="482"/>
      <c r="D11" s="1330" t="s">
        <v>1099</v>
      </c>
      <c r="E11" s="1330"/>
      <c r="F11" s="1330"/>
    </row>
    <row r="12" spans="1:13">
      <c r="C12" s="482"/>
      <c r="D12" s="1330"/>
      <c r="E12" s="1330"/>
      <c r="F12" s="1330"/>
    </row>
    <row r="13" spans="1:13">
      <c r="A13" s="483"/>
      <c r="B13" s="483"/>
      <c r="C13" s="483"/>
      <c r="D13" s="1308" t="s">
        <v>1089</v>
      </c>
      <c r="E13" s="1308"/>
      <c r="F13" s="1308"/>
      <c r="M13" s="96"/>
    </row>
    <row r="14" spans="1:13">
      <c r="A14" s="483"/>
      <c r="B14" s="483"/>
      <c r="C14" s="483"/>
      <c r="D14" s="476"/>
      <c r="L14" s="312"/>
    </row>
    <row r="15" spans="1:13" ht="14.4">
      <c r="A15" s="484"/>
      <c r="B15" s="485" t="s">
        <v>307</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ht="14.4">
      <c r="A20" s="484"/>
      <c r="B20" s="485" t="s">
        <v>307</v>
      </c>
      <c r="D20" s="1306" t="s">
        <v>1894</v>
      </c>
      <c r="E20" s="1306"/>
      <c r="F20" s="1306"/>
      <c r="I20" s="490"/>
    </row>
    <row r="21" spans="1:9" ht="14.4">
      <c r="A21" s="484"/>
      <c r="D21" s="1306"/>
      <c r="E21" s="1306"/>
      <c r="F21" s="1306"/>
      <c r="I21" s="490"/>
    </row>
    <row r="22" spans="1:9" ht="14.4">
      <c r="A22" s="484"/>
      <c r="D22" s="392"/>
      <c r="E22" s="96" t="s">
        <v>1890</v>
      </c>
      <c r="F22" s="392"/>
      <c r="I22" s="490"/>
    </row>
    <row r="23" spans="1:9" ht="14.4">
      <c r="A23" s="484"/>
      <c r="B23" s="484"/>
      <c r="D23" s="446"/>
      <c r="I23" s="490"/>
    </row>
    <row r="24" spans="1:9" ht="14.4">
      <c r="A24" s="484"/>
      <c r="B24" s="485" t="s">
        <v>307</v>
      </c>
      <c r="D24" s="1306" t="s">
        <v>1090</v>
      </c>
      <c r="E24" s="1306"/>
      <c r="F24" s="1306"/>
      <c r="I24" s="490"/>
    </row>
    <row r="25" spans="1:9" ht="14.4">
      <c r="A25" s="484"/>
      <c r="B25" s="484"/>
      <c r="D25" s="1306"/>
      <c r="E25" s="1306"/>
      <c r="F25" s="1306"/>
      <c r="I25" s="490"/>
    </row>
    <row r="26" spans="1:9">
      <c r="I26" s="490"/>
    </row>
    <row r="27" spans="1:9" ht="14.4">
      <c r="A27" s="484"/>
      <c r="B27" s="485" t="s">
        <v>307</v>
      </c>
      <c r="D27" s="1306" t="s">
        <v>2005</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307</v>
      </c>
      <c r="D33" s="1306" t="s">
        <v>2006</v>
      </c>
      <c r="E33" s="1306"/>
      <c r="F33" s="1306"/>
      <c r="I33" s="490"/>
    </row>
    <row r="34" spans="1:9">
      <c r="D34" s="1306"/>
      <c r="E34" s="1306"/>
      <c r="F34" s="1306"/>
      <c r="I34" s="490"/>
    </row>
    <row r="35" spans="1:9" ht="14.4">
      <c r="A35" s="484"/>
      <c r="B35" s="484"/>
      <c r="D35" s="447"/>
      <c r="I35" s="490"/>
    </row>
    <row r="36" spans="1:9" ht="14.4" customHeight="1">
      <c r="A36" s="484"/>
      <c r="B36" s="485" t="s">
        <v>307</v>
      </c>
      <c r="D36" s="1306" t="s">
        <v>1213</v>
      </c>
      <c r="E36" s="1306"/>
      <c r="F36" s="1306"/>
      <c r="I36" s="490"/>
    </row>
    <row r="37" spans="1:9" ht="14.4">
      <c r="A37" s="484"/>
      <c r="B37" s="484"/>
      <c r="D37" s="1306"/>
      <c r="E37" s="1306"/>
      <c r="F37" s="1306"/>
      <c r="I37" s="490"/>
    </row>
    <row r="38" spans="1:9" ht="14.4">
      <c r="A38" s="484"/>
      <c r="B38" s="484"/>
      <c r="D38" s="1306"/>
      <c r="E38" s="1306"/>
      <c r="F38" s="1306"/>
      <c r="I38" s="490"/>
    </row>
    <row r="39" spans="1:9" ht="14.4">
      <c r="A39" s="484"/>
      <c r="B39" s="484"/>
      <c r="D39" s="1306"/>
      <c r="E39" s="1306"/>
      <c r="F39" s="1306"/>
      <c r="I39" s="490"/>
    </row>
    <row r="40" spans="1:9" ht="14.4">
      <c r="A40" s="484"/>
      <c r="B40" s="484"/>
      <c r="I40" s="490"/>
    </row>
    <row r="41" spans="1:9" ht="14.4">
      <c r="A41" s="484"/>
      <c r="B41" s="485" t="s">
        <v>307</v>
      </c>
      <c r="D41" s="1306" t="s">
        <v>1091</v>
      </c>
      <c r="E41" s="1306"/>
      <c r="F41" s="1306"/>
      <c r="I41" s="490"/>
    </row>
    <row r="42" spans="1:9" ht="14.4">
      <c r="A42" s="484"/>
      <c r="B42" s="484"/>
      <c r="D42" s="1306"/>
      <c r="E42" s="1306"/>
      <c r="F42" s="1306"/>
      <c r="I42" s="490"/>
    </row>
    <row r="43" spans="1:9" ht="14.4">
      <c r="A43" s="484"/>
      <c r="B43" s="484"/>
      <c r="D43" s="1306"/>
      <c r="E43" s="1306"/>
      <c r="F43" s="1306"/>
      <c r="I43" s="490"/>
    </row>
    <row r="44" spans="1:9" ht="14.4">
      <c r="A44" s="484"/>
      <c r="B44" s="484"/>
      <c r="D44" s="1306"/>
      <c r="E44" s="1306"/>
      <c r="F44" s="1306"/>
      <c r="I44" s="490"/>
    </row>
    <row r="45" spans="1:9" ht="14.4">
      <c r="A45" s="484"/>
      <c r="B45" s="484"/>
      <c r="D45" s="1306"/>
      <c r="E45" s="1306"/>
      <c r="F45" s="1306"/>
      <c r="I45" s="490"/>
    </row>
    <row r="46" spans="1:9" ht="14.4">
      <c r="A46" s="484"/>
      <c r="B46" s="484"/>
      <c r="D46" s="445"/>
      <c r="E46" s="445"/>
      <c r="F46" s="445"/>
      <c r="I46" s="490"/>
    </row>
    <row r="47" spans="1:9" ht="14.4">
      <c r="A47" s="484"/>
      <c r="B47" s="485" t="s">
        <v>307</v>
      </c>
      <c r="D47" s="1306" t="s">
        <v>1092</v>
      </c>
      <c r="E47" s="1306"/>
      <c r="F47" s="1306"/>
      <c r="I47" s="490"/>
    </row>
    <row r="48" spans="1:9" ht="14.4">
      <c r="A48" s="484"/>
      <c r="B48" s="484"/>
      <c r="D48" s="1306"/>
      <c r="E48" s="1306"/>
      <c r="F48" s="1306"/>
      <c r="I48" s="490"/>
    </row>
    <row r="49" spans="1:9" ht="14.4">
      <c r="A49" s="484"/>
      <c r="B49" s="484"/>
      <c r="D49" s="1306"/>
      <c r="E49" s="1306"/>
      <c r="F49" s="1306"/>
      <c r="I49" s="490"/>
    </row>
    <row r="50" spans="1:9" ht="23.25" customHeight="1">
      <c r="A50" s="484"/>
      <c r="B50" s="484"/>
      <c r="D50" s="1306"/>
      <c r="E50" s="1306"/>
      <c r="F50" s="1306"/>
      <c r="I50" s="490"/>
    </row>
    <row r="51" spans="1:9" ht="14.4">
      <c r="A51" s="484"/>
      <c r="B51" s="484"/>
      <c r="D51" s="446"/>
      <c r="I51" s="490"/>
    </row>
    <row r="52" spans="1:9" ht="14.4" customHeight="1">
      <c r="A52" s="484"/>
      <c r="B52" s="485" t="s">
        <v>307</v>
      </c>
      <c r="D52" s="1306" t="s">
        <v>1093</v>
      </c>
      <c r="E52" s="1306"/>
      <c r="F52" s="1306"/>
      <c r="I52" s="490"/>
    </row>
    <row r="53" spans="1:9" ht="14.4">
      <c r="A53" s="484"/>
      <c r="B53" s="484"/>
      <c r="D53" s="1306"/>
      <c r="E53" s="1306"/>
      <c r="F53" s="1306"/>
      <c r="I53" s="490"/>
    </row>
    <row r="54" spans="1:9" ht="14.4">
      <c r="A54" s="484"/>
      <c r="B54" s="484"/>
      <c r="D54" s="1306"/>
      <c r="E54" s="1306"/>
      <c r="F54" s="1306"/>
      <c r="I54" s="490"/>
    </row>
    <row r="55" spans="1:9" ht="14.4">
      <c r="A55" s="484"/>
      <c r="B55" s="484"/>
      <c r="I55" s="490"/>
    </row>
    <row r="56" spans="1:9" ht="14.4">
      <c r="A56" s="484"/>
      <c r="B56" s="485" t="s">
        <v>307</v>
      </c>
      <c r="D56" s="1333" t="s">
        <v>1094</v>
      </c>
      <c r="E56" s="1333"/>
      <c r="F56" s="1333"/>
      <c r="I56" s="490"/>
    </row>
    <row r="57" spans="1:9" ht="14.4">
      <c r="A57" s="484"/>
      <c r="B57" s="484"/>
      <c r="D57" s="1333"/>
      <c r="E57" s="1333"/>
      <c r="F57" s="1333"/>
      <c r="I57" s="490"/>
    </row>
    <row r="58" spans="1:9" ht="14.4">
      <c r="A58" s="484"/>
      <c r="B58" s="484"/>
      <c r="D58" s="392" t="s">
        <v>1892</v>
      </c>
      <c r="E58" s="445"/>
      <c r="F58" s="445"/>
      <c r="I58" s="490"/>
    </row>
    <row r="59" spans="1:9" ht="14.4">
      <c r="A59" s="484"/>
      <c r="B59" s="484"/>
      <c r="D59" s="445"/>
      <c r="E59" s="312" t="s">
        <v>1891</v>
      </c>
      <c r="F59" s="445"/>
      <c r="I59" s="490"/>
    </row>
    <row r="60" spans="1:9">
      <c r="D60" s="447"/>
      <c r="I60" s="490"/>
    </row>
    <row r="61" spans="1:9" ht="14.4">
      <c r="A61" s="484"/>
      <c r="B61" s="485" t="s">
        <v>307</v>
      </c>
      <c r="D61" s="1306" t="s">
        <v>1095</v>
      </c>
      <c r="E61" s="1306"/>
      <c r="F61" s="1306"/>
      <c r="I61" s="490"/>
    </row>
    <row r="62" spans="1:9">
      <c r="D62" s="1306"/>
      <c r="E62" s="1306"/>
      <c r="F62" s="1306"/>
      <c r="I62" s="490"/>
    </row>
    <row r="63" spans="1:9">
      <c r="D63" s="1306"/>
      <c r="E63" s="1306"/>
      <c r="F63" s="1306"/>
      <c r="I63" s="490"/>
    </row>
    <row r="64" spans="1:9">
      <c r="I64" s="490"/>
    </row>
    <row r="65" spans="1:9" ht="14.4">
      <c r="A65" s="484"/>
      <c r="B65" s="485" t="s">
        <v>307</v>
      </c>
      <c r="D65" s="1306" t="s">
        <v>1096</v>
      </c>
      <c r="E65" s="1306"/>
      <c r="F65" s="1306"/>
      <c r="I65" s="490"/>
    </row>
    <row r="66" spans="1:9">
      <c r="D66" s="1306"/>
      <c r="E66" s="1306"/>
      <c r="F66" s="1306"/>
      <c r="I66" s="490"/>
    </row>
    <row r="67" spans="1:9">
      <c r="I67" s="490"/>
    </row>
    <row r="68" spans="1:9" ht="14.4">
      <c r="A68" s="484"/>
      <c r="B68" s="485" t="s">
        <v>307</v>
      </c>
      <c r="D68" s="1306" t="s">
        <v>1097</v>
      </c>
      <c r="E68" s="1306"/>
      <c r="F68" s="1306"/>
      <c r="I68" s="490"/>
    </row>
    <row r="69" spans="1:9">
      <c r="D69" s="1306"/>
      <c r="E69" s="1306"/>
      <c r="F69" s="1306"/>
      <c r="I69" s="490"/>
    </row>
    <row r="70" spans="1:9">
      <c r="D70" s="1306"/>
      <c r="E70" s="1306"/>
      <c r="F70" s="1306"/>
      <c r="I70" s="490"/>
    </row>
    <row r="71" spans="1:9">
      <c r="I71" s="490"/>
    </row>
    <row r="72" spans="1:9" ht="14.4">
      <c r="A72" s="484"/>
      <c r="B72" s="485" t="s">
        <v>307</v>
      </c>
      <c r="D72" s="1306" t="s">
        <v>1098</v>
      </c>
      <c r="E72" s="1306"/>
      <c r="F72" s="1306"/>
      <c r="I72" s="490"/>
    </row>
    <row r="73" spans="1:9">
      <c r="D73" s="1306"/>
      <c r="E73" s="1306"/>
      <c r="F73" s="1306"/>
      <c r="I73" s="490"/>
    </row>
    <row r="74" spans="1:9" ht="14.4">
      <c r="A74" s="484"/>
      <c r="B74" s="484"/>
      <c r="D74" s="446"/>
      <c r="I74" s="490"/>
    </row>
    <row r="75" spans="1:9">
      <c r="A75" s="1307" t="s">
        <v>1043</v>
      </c>
      <c r="B75" s="1307"/>
      <c r="C75" s="1307"/>
      <c r="D75" s="1307"/>
      <c r="E75" s="1307"/>
      <c r="F75" s="1307"/>
      <c r="G75" s="1307"/>
      <c r="H75" s="1023"/>
      <c r="I75" s="1147"/>
    </row>
    <row r="76" spans="1:9">
      <c r="I76" s="490"/>
    </row>
    <row r="77" spans="1:9">
      <c r="C77" s="486"/>
      <c r="D77" s="1326" t="s">
        <v>1101</v>
      </c>
      <c r="E77" s="1326"/>
      <c r="F77" s="1326"/>
      <c r="I77" s="490"/>
    </row>
    <row r="78" spans="1:9">
      <c r="A78" s="446"/>
      <c r="B78" s="446"/>
      <c r="D78" s="1306" t="s">
        <v>1116</v>
      </c>
      <c r="E78" s="1306"/>
      <c r="F78" s="1306"/>
      <c r="I78" s="490"/>
    </row>
    <row r="79" spans="1:9">
      <c r="A79" s="446"/>
      <c r="B79" s="446"/>
      <c r="I79" s="490"/>
    </row>
    <row r="80" spans="1:9" ht="13.65" customHeight="1">
      <c r="A80" s="484"/>
      <c r="B80" s="485" t="s">
        <v>307</v>
      </c>
      <c r="D80" s="1306" t="s">
        <v>1244</v>
      </c>
      <c r="E80" s="1306"/>
      <c r="F80" s="1306"/>
      <c r="I80" s="490"/>
    </row>
    <row r="81" spans="1:9" ht="14.4">
      <c r="A81" s="484"/>
      <c r="B81" s="484"/>
      <c r="D81" s="1306"/>
      <c r="E81" s="1306"/>
      <c r="F81" s="1306"/>
      <c r="I81" s="490"/>
    </row>
    <row r="82" spans="1:9" ht="14.4">
      <c r="A82" s="484"/>
      <c r="B82" s="484"/>
      <c r="D82" s="1306"/>
      <c r="E82" s="1306"/>
      <c r="F82" s="1306"/>
      <c r="I82" s="490"/>
    </row>
    <row r="83" spans="1:9" ht="14.4">
      <c r="A83" s="484"/>
      <c r="B83" s="484"/>
      <c r="D83" s="1306"/>
      <c r="E83" s="1306"/>
      <c r="F83" s="1306"/>
      <c r="I83" s="490"/>
    </row>
    <row r="84" spans="1:9" ht="14.4">
      <c r="A84" s="484"/>
      <c r="B84" s="484"/>
      <c r="D84" s="1306"/>
      <c r="E84" s="1306"/>
      <c r="F84" s="1306"/>
      <c r="I84" s="490"/>
    </row>
    <row r="85" spans="1:9" ht="14.4">
      <c r="A85" s="484"/>
      <c r="B85" s="484"/>
      <c r="D85" s="1306"/>
      <c r="E85" s="1306"/>
      <c r="F85" s="1306"/>
      <c r="I85" s="490"/>
    </row>
    <row r="86" spans="1:9" ht="14.4">
      <c r="A86" s="484"/>
      <c r="B86" s="484"/>
      <c r="D86" s="1306"/>
      <c r="E86" s="1306"/>
      <c r="F86" s="1306"/>
      <c r="I86" s="490"/>
    </row>
    <row r="87" spans="1:9" ht="14.4">
      <c r="A87" s="484"/>
      <c r="B87" s="484"/>
      <c r="D87" s="1306"/>
      <c r="E87" s="1306"/>
      <c r="F87" s="1306"/>
      <c r="I87" s="490"/>
    </row>
    <row r="88" spans="1:9" ht="14.4">
      <c r="A88" s="484"/>
      <c r="B88" s="484"/>
      <c r="D88" s="385"/>
      <c r="E88" s="385"/>
      <c r="F88" s="385"/>
      <c r="I88" s="490"/>
    </row>
    <row r="89" spans="1:9" ht="15" customHeight="1">
      <c r="A89" s="484"/>
      <c r="B89" s="485" t="s">
        <v>307</v>
      </c>
      <c r="D89" s="1306" t="s">
        <v>1729</v>
      </c>
      <c r="E89" s="1306"/>
      <c r="F89" s="1306"/>
      <c r="I89" s="490"/>
    </row>
    <row r="90" spans="1:9" ht="14.4">
      <c r="A90" s="484"/>
      <c r="B90" s="484"/>
      <c r="D90" s="1306"/>
      <c r="E90" s="1306"/>
      <c r="F90" s="1306"/>
      <c r="I90" s="490"/>
    </row>
    <row r="91" spans="1:9" ht="14.4">
      <c r="A91" s="484"/>
      <c r="B91" s="484"/>
      <c r="D91" s="445"/>
      <c r="E91" s="445"/>
      <c r="F91" s="445"/>
      <c r="I91" s="490"/>
    </row>
    <row r="92" spans="1:9" ht="14.4">
      <c r="A92" s="484"/>
      <c r="B92" s="485" t="s">
        <v>307</v>
      </c>
      <c r="D92" s="1306" t="s">
        <v>1732</v>
      </c>
      <c r="E92" s="1306"/>
      <c r="F92" s="1306"/>
      <c r="I92" s="490"/>
    </row>
    <row r="93" spans="1:9" ht="14.4">
      <c r="A93" s="484"/>
      <c r="B93" s="484"/>
      <c r="D93" s="1306"/>
      <c r="E93" s="1306"/>
      <c r="F93" s="1306"/>
      <c r="I93" s="490"/>
    </row>
    <row r="94" spans="1:9" ht="14.4">
      <c r="A94" s="484"/>
      <c r="B94" s="484"/>
      <c r="D94" s="1306"/>
      <c r="E94" s="1306"/>
      <c r="F94" s="1306"/>
      <c r="I94" s="490"/>
    </row>
    <row r="95" spans="1:9" ht="14.4">
      <c r="A95" s="484"/>
      <c r="B95" s="484"/>
      <c r="D95" s="445"/>
      <c r="E95" s="445"/>
      <c r="F95" s="445"/>
      <c r="I95" s="490"/>
    </row>
    <row r="96" spans="1:9" ht="14.4">
      <c r="A96" s="484"/>
      <c r="B96" s="485" t="s">
        <v>307</v>
      </c>
      <c r="D96" s="1306" t="s">
        <v>1731</v>
      </c>
      <c r="E96" s="1306"/>
      <c r="F96" s="1306"/>
      <c r="I96" s="490"/>
    </row>
    <row r="97" spans="1:9" s="982" customFormat="1" ht="14.4">
      <c r="A97" s="980"/>
      <c r="B97" s="980"/>
      <c r="C97" s="981"/>
      <c r="D97" s="1306"/>
      <c r="E97" s="1306"/>
      <c r="F97" s="1306"/>
      <c r="I97" s="1148"/>
    </row>
    <row r="98" spans="1:9" ht="14.4">
      <c r="A98" s="484"/>
      <c r="B98" s="484"/>
      <c r="D98" s="392"/>
      <c r="E98" s="312" t="s">
        <v>1895</v>
      </c>
      <c r="F98" s="445"/>
      <c r="I98" s="490"/>
    </row>
    <row r="99" spans="1:9" ht="14.4">
      <c r="A99" s="484"/>
      <c r="B99" s="484"/>
      <c r="D99" s="385"/>
      <c r="E99" s="385"/>
      <c r="F99" s="385"/>
      <c r="I99" s="490"/>
    </row>
    <row r="100" spans="1:9" ht="14.4">
      <c r="A100" s="484"/>
      <c r="B100" s="485" t="s">
        <v>307</v>
      </c>
      <c r="D100" s="1306" t="s">
        <v>1730</v>
      </c>
      <c r="E100" s="1306"/>
      <c r="F100" s="1306"/>
      <c r="I100" s="490"/>
    </row>
    <row r="101" spans="1:9" ht="14.4">
      <c r="A101" s="484"/>
      <c r="B101" s="484"/>
      <c r="D101" s="1306"/>
      <c r="E101" s="1306"/>
      <c r="F101" s="1306"/>
      <c r="I101" s="490"/>
    </row>
    <row r="102" spans="1:9" ht="14.4">
      <c r="A102" s="484"/>
      <c r="B102" s="484"/>
      <c r="D102" s="445"/>
      <c r="E102" s="445"/>
      <c r="F102" s="445"/>
      <c r="I102" s="490"/>
    </row>
    <row r="103" spans="1:9" ht="14.4" customHeight="1">
      <c r="A103" s="484"/>
      <c r="B103" s="485" t="s">
        <v>307</v>
      </c>
      <c r="D103" s="1306" t="s">
        <v>1193</v>
      </c>
      <c r="E103" s="1306"/>
      <c r="F103" s="1306"/>
      <c r="I103" s="490"/>
    </row>
    <row r="104" spans="1:9" ht="14.4">
      <c r="A104" s="484"/>
      <c r="B104" s="484"/>
      <c r="D104" s="1306"/>
      <c r="E104" s="1306"/>
      <c r="F104" s="1306"/>
      <c r="I104" s="490"/>
    </row>
    <row r="105" spans="1:9" ht="14.4">
      <c r="A105" s="484"/>
      <c r="B105" s="484"/>
      <c r="D105" s="1306"/>
      <c r="E105" s="1306"/>
      <c r="F105" s="1306"/>
      <c r="I105" s="490"/>
    </row>
    <row r="106" spans="1:9" ht="14.4">
      <c r="A106" s="484"/>
      <c r="B106" s="484"/>
      <c r="D106" s="1306"/>
      <c r="E106" s="1306"/>
      <c r="F106" s="1306"/>
      <c r="I106" s="490"/>
    </row>
    <row r="107" spans="1:9" ht="14.4">
      <c r="A107" s="484"/>
      <c r="B107" s="484"/>
      <c r="D107" s="1306"/>
      <c r="E107" s="1306"/>
      <c r="F107" s="1306"/>
      <c r="I107" s="490"/>
    </row>
    <row r="108" spans="1:9" ht="14.4">
      <c r="A108" s="484"/>
      <c r="B108" s="484"/>
      <c r="D108" s="1306"/>
      <c r="E108" s="1306"/>
      <c r="F108" s="1306"/>
      <c r="I108" s="490"/>
    </row>
    <row r="109" spans="1:9" ht="14.4">
      <c r="A109" s="484"/>
      <c r="B109" s="484"/>
      <c r="D109" s="1306"/>
      <c r="E109" s="1306"/>
      <c r="F109" s="1306"/>
      <c r="I109" s="490"/>
    </row>
    <row r="110" spans="1:9" ht="14.4">
      <c r="A110" s="484"/>
      <c r="B110" s="484"/>
      <c r="D110" s="1306"/>
      <c r="E110" s="1306"/>
      <c r="F110" s="1306"/>
      <c r="I110" s="490"/>
    </row>
    <row r="111" spans="1:9" ht="14.4">
      <c r="A111" s="484"/>
      <c r="B111" s="484"/>
      <c r="D111" s="1306"/>
      <c r="E111" s="1306"/>
      <c r="F111" s="1306"/>
      <c r="I111" s="490"/>
    </row>
    <row r="112" spans="1:9" ht="14.4">
      <c r="A112" s="484"/>
      <c r="B112" s="484"/>
      <c r="D112" s="1306"/>
      <c r="E112" s="1306"/>
      <c r="F112" s="1306"/>
      <c r="I112" s="490"/>
    </row>
    <row r="113" spans="1:9" ht="14.4">
      <c r="A113" s="484"/>
      <c r="B113" s="484"/>
      <c r="D113" s="1306"/>
      <c r="E113" s="1306"/>
      <c r="F113" s="1306"/>
      <c r="I113" s="490"/>
    </row>
    <row r="114" spans="1:9" ht="14.4">
      <c r="A114" s="484"/>
      <c r="B114" s="484"/>
      <c r="D114" s="1306"/>
      <c r="E114" s="1306"/>
      <c r="F114" s="1306"/>
      <c r="I114" s="490"/>
    </row>
    <row r="115" spans="1:9" ht="14.4">
      <c r="A115" s="484"/>
      <c r="B115" s="484"/>
      <c r="D115" s="1306"/>
      <c r="E115" s="1306"/>
      <c r="F115" s="1306"/>
      <c r="I115" s="490"/>
    </row>
    <row r="116" spans="1:9" ht="14.4">
      <c r="A116" s="484"/>
      <c r="B116" s="484"/>
      <c r="D116" s="1306"/>
      <c r="E116" s="1306"/>
      <c r="F116" s="1306"/>
      <c r="I116" s="490"/>
    </row>
    <row r="117" spans="1:9" ht="14.4">
      <c r="A117" s="484"/>
      <c r="B117" s="484"/>
      <c r="D117" s="1306"/>
      <c r="E117" s="1306"/>
      <c r="F117" s="1306"/>
      <c r="I117" s="490"/>
    </row>
    <row r="118" spans="1:9" ht="14.4">
      <c r="A118" s="484"/>
      <c r="B118" s="484"/>
      <c r="D118" s="524"/>
      <c r="E118" s="524"/>
      <c r="F118" s="524"/>
      <c r="I118" s="490"/>
    </row>
    <row r="119" spans="1:9" ht="14.25" customHeight="1">
      <c r="A119" s="484"/>
      <c r="B119" s="485" t="s">
        <v>307</v>
      </c>
      <c r="D119" s="1332" t="s">
        <v>1102</v>
      </c>
      <c r="E119" s="1332"/>
      <c r="F119" s="1332"/>
      <c r="I119" s="490"/>
    </row>
    <row r="120" spans="1:9" ht="14.4">
      <c r="A120" s="484"/>
      <c r="B120" s="484"/>
      <c r="D120" s="1332"/>
      <c r="E120" s="1332"/>
      <c r="F120" s="1332"/>
      <c r="I120" s="490"/>
    </row>
    <row r="121" spans="1:9" ht="14.4">
      <c r="A121" s="484"/>
      <c r="B121" s="484"/>
      <c r="D121" s="1332"/>
      <c r="E121" s="1332"/>
      <c r="F121" s="1332"/>
      <c r="I121" s="490"/>
    </row>
    <row r="122" spans="1:9" ht="14.4">
      <c r="A122" s="484"/>
      <c r="B122" s="484"/>
      <c r="D122" s="1332"/>
      <c r="E122" s="1332"/>
      <c r="F122" s="1332"/>
      <c r="I122" s="490"/>
    </row>
    <row r="123" spans="1:9" ht="14.4">
      <c r="A123" s="484"/>
      <c r="B123" s="484"/>
      <c r="D123" s="1332"/>
      <c r="E123" s="1332"/>
      <c r="F123" s="1332"/>
      <c r="I123" s="490"/>
    </row>
    <row r="124" spans="1:9" ht="14.4">
      <c r="A124" s="484"/>
      <c r="B124" s="484"/>
      <c r="D124" s="1332"/>
      <c r="E124" s="1332"/>
      <c r="F124" s="1332"/>
      <c r="I124" s="490"/>
    </row>
    <row r="125" spans="1:9" ht="14.4">
      <c r="A125" s="484"/>
      <c r="B125" s="484"/>
      <c r="D125" s="1332"/>
      <c r="E125" s="1332"/>
      <c r="F125" s="1332"/>
      <c r="I125" s="490"/>
    </row>
    <row r="126" spans="1:9" ht="14.4">
      <c r="A126" s="484"/>
      <c r="B126" s="484"/>
      <c r="D126" s="1332"/>
      <c r="E126" s="1332"/>
      <c r="F126" s="1332"/>
      <c r="I126" s="490"/>
    </row>
    <row r="127" spans="1:9">
      <c r="C127" s="402"/>
      <c r="D127" s="525"/>
      <c r="E127" s="525"/>
      <c r="F127" s="525"/>
      <c r="I127" s="490"/>
    </row>
    <row r="128" spans="1:9" ht="14.4">
      <c r="A128" s="484"/>
      <c r="B128" s="485" t="s">
        <v>307</v>
      </c>
      <c r="C128" s="402"/>
      <c r="D128" s="1332" t="s">
        <v>2007</v>
      </c>
      <c r="E128" s="1332"/>
      <c r="F128" s="1332"/>
      <c r="I128" s="490"/>
    </row>
    <row r="129" spans="1:9" ht="14.4">
      <c r="A129" s="484"/>
      <c r="B129" s="484"/>
      <c r="C129" s="402"/>
      <c r="D129" s="1332"/>
      <c r="E129" s="1332"/>
      <c r="F129" s="1332"/>
      <c r="I129" s="490"/>
    </row>
    <row r="130" spans="1:9">
      <c r="I130" s="490"/>
    </row>
    <row r="131" spans="1:9" ht="14.4">
      <c r="A131" s="484"/>
      <c r="B131" s="485" t="s">
        <v>307</v>
      </c>
      <c r="D131" s="1306" t="s">
        <v>1103</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4">
      <c r="A137" s="484"/>
      <c r="B137" s="485" t="s">
        <v>307</v>
      </c>
      <c r="D137" s="1306" t="s">
        <v>1104</v>
      </c>
      <c r="E137" s="1306"/>
      <c r="F137" s="1306"/>
      <c r="I137" s="490"/>
    </row>
    <row r="138" spans="1:9" s="417" customFormat="1" ht="13.65" customHeight="1">
      <c r="A138" s="488"/>
      <c r="B138" s="488"/>
      <c r="C138" s="488"/>
      <c r="D138" s="1306"/>
      <c r="E138" s="1306"/>
      <c r="F138" s="1306"/>
      <c r="I138" s="1149"/>
    </row>
    <row r="139" spans="1:9" ht="13.65" customHeight="1">
      <c r="D139" s="1306"/>
      <c r="E139" s="1306"/>
      <c r="F139" s="1306"/>
      <c r="I139" s="490"/>
    </row>
    <row r="140" spans="1:9" ht="13.65" customHeight="1">
      <c r="D140" s="1306"/>
      <c r="E140" s="1306"/>
      <c r="F140" s="1306"/>
      <c r="I140" s="490"/>
    </row>
    <row r="141" spans="1:9" ht="13.65" customHeight="1">
      <c r="D141" s="1306"/>
      <c r="E141" s="1306"/>
      <c r="F141" s="1306"/>
      <c r="I141" s="490"/>
    </row>
    <row r="142" spans="1:9" ht="13.65" customHeight="1">
      <c r="A142" s="489"/>
      <c r="B142" s="489"/>
      <c r="D142" s="1306"/>
      <c r="E142" s="1306"/>
      <c r="F142" s="1306"/>
      <c r="I142" s="490"/>
    </row>
    <row r="143" spans="1:9" ht="13.65" customHeight="1">
      <c r="D143" s="1306"/>
      <c r="E143" s="1306"/>
      <c r="F143" s="1306"/>
      <c r="I143" s="490"/>
    </row>
    <row r="144" spans="1:9" ht="13.65" customHeight="1">
      <c r="D144" s="1306"/>
      <c r="E144" s="1306"/>
      <c r="F144" s="1306"/>
      <c r="I144" s="490"/>
    </row>
    <row r="145" spans="2:9" ht="13.65" customHeight="1">
      <c r="D145" s="1306"/>
      <c r="E145" s="1306"/>
      <c r="F145" s="1306"/>
      <c r="I145" s="490"/>
    </row>
    <row r="146" spans="2:9" ht="13.65" customHeight="1">
      <c r="D146" s="1306"/>
      <c r="E146" s="1306"/>
      <c r="F146" s="1306"/>
      <c r="I146" s="490"/>
    </row>
    <row r="147" spans="2:9" ht="13.65" customHeight="1">
      <c r="D147" s="1306"/>
      <c r="E147" s="1306"/>
      <c r="F147" s="1306"/>
      <c r="I147" s="490"/>
    </row>
    <row r="148" spans="2:9" ht="13.65" customHeight="1">
      <c r="D148" s="1306"/>
      <c r="E148" s="1306"/>
      <c r="F148" s="1306"/>
      <c r="I148" s="490"/>
    </row>
    <row r="149" spans="2:9" ht="13.65" customHeight="1">
      <c r="D149" s="1306"/>
      <c r="E149" s="1306"/>
      <c r="F149" s="1306"/>
      <c r="I149" s="490"/>
    </row>
    <row r="150" spans="2:9" ht="13.65" customHeight="1">
      <c r="D150" s="476"/>
      <c r="E150" s="446"/>
      <c r="F150" s="446"/>
      <c r="I150" s="490"/>
    </row>
    <row r="151" spans="2:9" ht="13.65" customHeight="1">
      <c r="B151" s="485" t="s">
        <v>307</v>
      </c>
      <c r="D151" s="1306" t="s">
        <v>1176</v>
      </c>
      <c r="E151" s="1306"/>
      <c r="F151" s="1306"/>
      <c r="I151" s="490"/>
    </row>
    <row r="152" spans="2:9" ht="13.65" customHeight="1">
      <c r="D152" s="1306"/>
      <c r="E152" s="1306"/>
      <c r="F152" s="1306"/>
      <c r="I152" s="490"/>
    </row>
    <row r="153" spans="2:9" ht="13.65" customHeight="1">
      <c r="D153" s="1306"/>
      <c r="E153" s="1306"/>
      <c r="F153" s="1306"/>
      <c r="I153" s="490"/>
    </row>
    <row r="154" spans="2:9" ht="13.65" customHeight="1">
      <c r="D154" s="1306"/>
      <c r="E154" s="1306"/>
      <c r="F154" s="1306"/>
      <c r="I154" s="490"/>
    </row>
    <row r="155" spans="2:9" ht="13.65" customHeight="1">
      <c r="D155" s="1306"/>
      <c r="E155" s="1306"/>
      <c r="F155" s="1306"/>
      <c r="I155" s="490"/>
    </row>
    <row r="156" spans="2:9" ht="13.65" customHeight="1">
      <c r="D156" s="1306"/>
      <c r="E156" s="1306"/>
      <c r="F156" s="1306"/>
      <c r="I156" s="490"/>
    </row>
    <row r="157" spans="2:9" ht="13.65" customHeight="1">
      <c r="D157" s="1306"/>
      <c r="E157" s="1306"/>
      <c r="F157" s="1306"/>
      <c r="I157" s="490"/>
    </row>
    <row r="158" spans="2:9" ht="13.65" customHeight="1">
      <c r="D158" s="1306"/>
      <c r="E158" s="1306"/>
      <c r="F158" s="1306"/>
      <c r="I158" s="490"/>
    </row>
    <row r="159" spans="2:9" ht="13.65" customHeight="1">
      <c r="D159" s="1306"/>
      <c r="E159" s="1306"/>
      <c r="F159" s="1306"/>
      <c r="I159" s="490"/>
    </row>
    <row r="160" spans="2:9" ht="13.65" customHeight="1">
      <c r="D160" s="1306"/>
      <c r="E160" s="1306"/>
      <c r="F160" s="1306"/>
      <c r="I160" s="490"/>
    </row>
    <row r="161" spans="1:9" ht="13.65" customHeight="1">
      <c r="D161" s="1306"/>
      <c r="E161" s="1306"/>
      <c r="F161" s="1306"/>
      <c r="I161" s="490"/>
    </row>
    <row r="162" spans="1:9" ht="13.65" customHeight="1">
      <c r="D162" s="1306"/>
      <c r="E162" s="1306"/>
      <c r="F162" s="1306"/>
      <c r="I162" s="490"/>
    </row>
    <row r="163" spans="1:9" ht="13.65" customHeight="1">
      <c r="D163" s="1306"/>
      <c r="E163" s="1306"/>
      <c r="F163" s="1306"/>
      <c r="I163" s="490"/>
    </row>
    <row r="164" spans="1:9" ht="13.65" customHeight="1">
      <c r="D164" s="1306"/>
      <c r="E164" s="1306"/>
      <c r="F164" s="1306"/>
      <c r="I164" s="490"/>
    </row>
    <row r="165" spans="1:9" ht="13.65" customHeight="1">
      <c r="D165" s="1306"/>
      <c r="E165" s="1306"/>
      <c r="F165" s="1306"/>
      <c r="I165" s="490"/>
    </row>
    <row r="166" spans="1:9" ht="13.65" customHeight="1">
      <c r="D166" s="1306"/>
      <c r="E166" s="1306"/>
      <c r="F166" s="1306"/>
      <c r="I166" s="490"/>
    </row>
    <row r="167" spans="1:9" ht="13.65" customHeight="1">
      <c r="D167" s="1306"/>
      <c r="E167" s="1306"/>
      <c r="F167" s="1306"/>
      <c r="I167" s="490"/>
    </row>
    <row r="168" spans="1:9" ht="13.65" customHeight="1">
      <c r="D168" s="1306"/>
      <c r="E168" s="1306"/>
      <c r="F168" s="1306"/>
      <c r="I168" s="490"/>
    </row>
    <row r="169" spans="1:9" ht="13.65" customHeight="1">
      <c r="D169" s="1329" t="s">
        <v>2029</v>
      </c>
      <c r="E169" s="1329"/>
      <c r="F169" s="1329"/>
      <c r="G169" s="507"/>
      <c r="I169" s="490"/>
    </row>
    <row r="170" spans="1:9" ht="13.65" customHeight="1">
      <c r="D170" s="1316"/>
      <c r="E170" s="1316"/>
      <c r="F170" s="1316"/>
      <c r="G170" s="1316"/>
      <c r="I170" s="490"/>
    </row>
    <row r="171" spans="1:9" ht="14.4" customHeight="1">
      <c r="A171" s="489"/>
      <c r="B171" s="485" t="s">
        <v>307</v>
      </c>
      <c r="C171" s="476"/>
      <c r="D171" s="1278" t="s">
        <v>2165</v>
      </c>
      <c r="E171" s="1278"/>
      <c r="F171" s="1278"/>
      <c r="G171" s="476"/>
      <c r="I171" s="490"/>
    </row>
    <row r="172" spans="1:9" ht="14.4" customHeight="1">
      <c r="A172" s="489"/>
      <c r="B172" s="489"/>
      <c r="C172" s="476"/>
      <c r="D172" s="1278"/>
      <c r="E172" s="1278"/>
      <c r="F172" s="1278"/>
      <c r="G172" s="476"/>
      <c r="I172" s="490"/>
    </row>
    <row r="173" spans="1:9" ht="14.4" customHeight="1">
      <c r="A173" s="489"/>
      <c r="B173" s="489"/>
      <c r="C173" s="476"/>
      <c r="D173" s="1278"/>
      <c r="E173" s="1278"/>
      <c r="F173" s="1278"/>
      <c r="G173" s="476"/>
      <c r="I173" s="490"/>
    </row>
    <row r="174" spans="1:9" ht="14.4" customHeight="1">
      <c r="A174" s="489"/>
      <c r="B174" s="489"/>
      <c r="C174" s="476"/>
      <c r="D174" s="1278"/>
      <c r="E174" s="1278"/>
      <c r="F174" s="1278"/>
      <c r="G174" s="476"/>
      <c r="I174" s="490"/>
    </row>
    <row r="175" spans="1:9" ht="13.65" customHeight="1">
      <c r="A175" s="489"/>
      <c r="B175" s="489"/>
      <c r="C175" s="476"/>
      <c r="D175" s="1278"/>
      <c r="E175" s="1278"/>
      <c r="F175" s="1278"/>
      <c r="G175" s="476"/>
      <c r="I175" s="490"/>
    </row>
    <row r="176" spans="1:9" ht="13.65" customHeight="1">
      <c r="A176" s="489"/>
      <c r="B176" s="489"/>
      <c r="C176" s="476"/>
      <c r="D176" s="476"/>
      <c r="E176" s="476"/>
      <c r="F176" s="476"/>
      <c r="G176" s="476"/>
      <c r="I176" s="490"/>
    </row>
    <row r="177" spans="1:9" ht="13.65" customHeight="1">
      <c r="A177" s="489"/>
      <c r="B177" s="485" t="s">
        <v>307</v>
      </c>
      <c r="C177" s="476"/>
      <c r="D177" s="1278" t="s">
        <v>1105</v>
      </c>
      <c r="E177" s="1278"/>
      <c r="F177" s="1278"/>
      <c r="G177" s="476"/>
      <c r="I177" s="490"/>
    </row>
    <row r="178" spans="1:9" ht="13.65" customHeight="1">
      <c r="A178" s="489"/>
      <c r="B178" s="489"/>
      <c r="C178" s="476"/>
      <c r="D178" s="1278"/>
      <c r="E178" s="1278"/>
      <c r="F178" s="1278"/>
      <c r="G178" s="476"/>
      <c r="I178" s="490"/>
    </row>
    <row r="179" spans="1:9" ht="13.65" customHeight="1">
      <c r="A179" s="489"/>
      <c r="B179" s="489"/>
      <c r="C179" s="476"/>
      <c r="D179" s="1278"/>
      <c r="E179" s="1278"/>
      <c r="F179" s="1278"/>
      <c r="G179" s="476"/>
      <c r="I179" s="490"/>
    </row>
    <row r="180" spans="1:9" ht="13.65" customHeight="1">
      <c r="A180" s="489"/>
      <c r="B180" s="489"/>
      <c r="C180" s="476"/>
      <c r="D180" s="1278"/>
      <c r="E180" s="1278"/>
      <c r="F180" s="1278"/>
      <c r="G180" s="476"/>
      <c r="I180" s="490"/>
    </row>
    <row r="181" spans="1:9" ht="13.65" customHeight="1">
      <c r="D181" s="446"/>
      <c r="E181" s="446"/>
      <c r="F181" s="446"/>
      <c r="I181" s="490"/>
    </row>
    <row r="182" spans="1:9" ht="13.65" hidden="1" customHeight="1">
      <c r="B182" s="485" t="s">
        <v>307</v>
      </c>
      <c r="D182" s="1322" t="s">
        <v>2008</v>
      </c>
      <c r="E182" s="1322"/>
      <c r="F182" s="1322"/>
      <c r="I182" s="490"/>
    </row>
    <row r="183" spans="1:9" ht="13.65" hidden="1" customHeight="1">
      <c r="D183" s="1322"/>
      <c r="E183" s="1322"/>
      <c r="F183" s="1322"/>
      <c r="I183" s="490"/>
    </row>
    <row r="184" spans="1:9" ht="13.65" hidden="1" customHeight="1">
      <c r="D184" s="1322"/>
      <c r="E184" s="1322"/>
      <c r="F184" s="1322"/>
      <c r="I184" s="490"/>
    </row>
    <row r="185" spans="1:9" ht="13.65" customHeight="1">
      <c r="A185" s="490"/>
      <c r="B185" s="490"/>
      <c r="E185" s="446"/>
      <c r="F185" s="446"/>
      <c r="I185" s="490"/>
    </row>
    <row r="186" spans="1:9">
      <c r="A186" s="1307" t="s">
        <v>2009</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3"/>
      <c r="I191" s="1147"/>
    </row>
    <row r="192" spans="1:9" ht="12" customHeight="1">
      <c r="A192" s="404"/>
      <c r="B192" s="404"/>
      <c r="E192" s="404"/>
      <c r="I192" s="490"/>
    </row>
    <row r="193" spans="1:9" ht="13.65" customHeight="1">
      <c r="A193" s="404"/>
      <c r="B193" s="404"/>
      <c r="D193" s="1326" t="s">
        <v>1733</v>
      </c>
      <c r="E193" s="1326"/>
      <c r="F193" s="1326"/>
      <c r="I193" s="490"/>
    </row>
    <row r="194" spans="1:9">
      <c r="A194" s="404"/>
      <c r="B194" s="404"/>
      <c r="D194" s="1326"/>
      <c r="E194" s="1326"/>
      <c r="F194" s="1326"/>
      <c r="I194" s="490"/>
    </row>
    <row r="195" spans="1:9">
      <c r="A195" s="404"/>
      <c r="B195" s="404"/>
      <c r="D195" s="1312" t="s">
        <v>1194</v>
      </c>
      <c r="E195" s="1312"/>
      <c r="F195" s="1312"/>
      <c r="I195" s="490"/>
    </row>
    <row r="196" spans="1:9">
      <c r="A196" s="404"/>
      <c r="B196" s="404"/>
      <c r="D196" s="392"/>
      <c r="E196" s="392"/>
      <c r="F196" s="392"/>
      <c r="I196" s="490"/>
    </row>
    <row r="197" spans="1:9">
      <c r="A197" s="404"/>
      <c r="B197" s="485" t="s">
        <v>307</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307</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307</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307</v>
      </c>
      <c r="D209" s="386" t="s">
        <v>1866</v>
      </c>
      <c r="E209" s="385"/>
      <c r="F209" s="385"/>
      <c r="I209" s="490"/>
    </row>
    <row r="210" spans="1:9" ht="14.4">
      <c r="A210" s="484"/>
      <c r="B210" s="484"/>
      <c r="D210" s="1296" t="s">
        <v>1873</v>
      </c>
      <c r="E210" s="1296"/>
      <c r="F210" s="1296"/>
      <c r="I210" s="490"/>
    </row>
    <row r="211" spans="1:9">
      <c r="D211" s="385"/>
      <c r="E211" s="1334" t="s">
        <v>1899</v>
      </c>
      <c r="F211" s="1334"/>
      <c r="I211" s="490"/>
    </row>
    <row r="212" spans="1:9">
      <c r="D212" s="447"/>
      <c r="I212" s="490"/>
    </row>
    <row r="213" spans="1:9">
      <c r="B213" s="485" t="s">
        <v>307</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ht="14.4">
      <c r="A217" s="484"/>
      <c r="B217" s="485" t="s">
        <v>307</v>
      </c>
      <c r="D217" s="1306" t="s">
        <v>1215</v>
      </c>
      <c r="E217" s="1306"/>
      <c r="F217" s="1306"/>
      <c r="I217" s="490"/>
    </row>
    <row r="218" spans="1:9" ht="14.4" customHeight="1">
      <c r="A218" s="484"/>
      <c r="B218" s="402"/>
      <c r="D218" s="1306"/>
      <c r="E218" s="1306"/>
      <c r="F218" s="1306"/>
      <c r="I218" s="490"/>
    </row>
    <row r="219" spans="1:9" ht="14.4">
      <c r="A219" s="484"/>
      <c r="D219" s="1306"/>
      <c r="E219" s="1306"/>
      <c r="F219" s="1306"/>
      <c r="I219" s="490"/>
    </row>
    <row r="220" spans="1:9" ht="14.4">
      <c r="A220" s="484"/>
      <c r="D220" s="1306"/>
      <c r="E220" s="1306"/>
      <c r="F220" s="1306"/>
      <c r="I220" s="490"/>
    </row>
    <row r="221" spans="1:9">
      <c r="D221" s="451"/>
      <c r="E221" s="451"/>
      <c r="F221" s="451"/>
      <c r="I221" s="490"/>
    </row>
    <row r="222" spans="1:9">
      <c r="A222" s="1307" t="s">
        <v>1045</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1119</v>
      </c>
      <c r="E225" s="1308"/>
      <c r="F225" s="1308"/>
      <c r="I225" s="490"/>
    </row>
    <row r="226" spans="1:9" ht="12" customHeight="1">
      <c r="A226" s="490"/>
      <c r="B226" s="490"/>
      <c r="C226" s="490"/>
      <c r="I226" s="490"/>
    </row>
    <row r="227" spans="1:9" ht="13.65" customHeight="1">
      <c r="A227" s="490"/>
      <c r="C227" s="490"/>
      <c r="D227" s="1309" t="s">
        <v>546</v>
      </c>
      <c r="E227" s="1309"/>
      <c r="F227" s="1309"/>
      <c r="I227" s="490"/>
    </row>
    <row r="228" spans="1:9" ht="14.4">
      <c r="A228" s="484"/>
      <c r="B228" s="485" t="s">
        <v>307</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4">
      <c r="A231" s="484"/>
      <c r="B231" s="484"/>
      <c r="D231" s="1306"/>
      <c r="E231" s="1306"/>
      <c r="F231" s="1306"/>
      <c r="I231" s="490"/>
    </row>
    <row r="232" spans="1:9" ht="14.4">
      <c r="A232" s="484"/>
      <c r="B232" s="484"/>
      <c r="D232" s="445"/>
      <c r="E232" s="445"/>
      <c r="F232" s="445"/>
      <c r="I232" s="490"/>
    </row>
    <row r="233" spans="1:9" ht="14.4">
      <c r="A233" s="484"/>
      <c r="B233" s="485" t="s">
        <v>307</v>
      </c>
      <c r="D233" s="1306" t="s">
        <v>1741</v>
      </c>
      <c r="E233" s="1306"/>
      <c r="F233" s="1306"/>
      <c r="I233" s="490"/>
    </row>
    <row r="234" spans="1:9" ht="14.4">
      <c r="A234" s="484"/>
      <c r="B234" s="484"/>
      <c r="D234" s="1306"/>
      <c r="E234" s="1306"/>
      <c r="F234" s="1306"/>
      <c r="I234" s="490"/>
    </row>
    <row r="235" spans="1:9" ht="14.4">
      <c r="A235" s="484"/>
      <c r="B235" s="484"/>
      <c r="D235" s="1306"/>
      <c r="E235" s="1306"/>
      <c r="F235" s="1306"/>
      <c r="I235" s="490"/>
    </row>
    <row r="236" spans="1:9" ht="14.4">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4">
      <c r="A239" s="484"/>
      <c r="B239" s="484"/>
      <c r="D239" s="1306" t="s">
        <v>1117</v>
      </c>
      <c r="E239" s="1306"/>
      <c r="F239" s="1306"/>
      <c r="I239" s="490"/>
    </row>
    <row r="240" spans="1:9" ht="14.4">
      <c r="A240" s="484"/>
      <c r="B240" s="484"/>
      <c r="D240" s="1306"/>
      <c r="E240" s="1306"/>
      <c r="F240" s="1306"/>
      <c r="I240" s="490"/>
    </row>
    <row r="241" spans="1:9" ht="14.4">
      <c r="A241" s="484"/>
      <c r="B241" s="484"/>
      <c r="D241" s="1306"/>
      <c r="E241" s="1306"/>
      <c r="F241" s="1306"/>
      <c r="I241" s="490"/>
    </row>
    <row r="242" spans="1:9" ht="14.4">
      <c r="A242" s="484"/>
      <c r="B242" s="484"/>
      <c r="D242" s="1306"/>
      <c r="E242" s="1306"/>
      <c r="F242" s="1306"/>
      <c r="I242" s="490"/>
    </row>
    <row r="243" spans="1:9" ht="14.4">
      <c r="A243" s="484"/>
      <c r="B243" s="484"/>
      <c r="D243" s="1306"/>
      <c r="E243" s="1306"/>
      <c r="F243" s="1306"/>
      <c r="I243" s="490"/>
    </row>
    <row r="244" spans="1:9" ht="14.4">
      <c r="A244" s="484"/>
      <c r="B244" s="484"/>
      <c r="D244" s="446"/>
      <c r="E244" s="446"/>
      <c r="F244" s="446"/>
      <c r="I244" s="490"/>
    </row>
    <row r="245" spans="1:9" ht="14.4">
      <c r="A245" s="484"/>
      <c r="B245" s="485" t="s">
        <v>307</v>
      </c>
      <c r="D245" s="1306" t="s">
        <v>2010</v>
      </c>
      <c r="E245" s="1306"/>
      <c r="F245" s="1306"/>
      <c r="I245" s="490"/>
    </row>
    <row r="246" spans="1:9" ht="14.4">
      <c r="A246" s="484"/>
      <c r="B246" s="484"/>
      <c r="D246" s="1306"/>
      <c r="E246" s="1306"/>
      <c r="F246" s="1306"/>
      <c r="I246" s="490"/>
    </row>
    <row r="247" spans="1:9" ht="14.4">
      <c r="A247" s="484"/>
      <c r="B247" s="484"/>
      <c r="D247" s="1306"/>
      <c r="E247" s="1306"/>
      <c r="F247" s="1306"/>
      <c r="I247" s="490"/>
    </row>
    <row r="248" spans="1:9" ht="14.4">
      <c r="A248" s="484"/>
      <c r="B248" s="484"/>
      <c r="E248" s="1031" t="s">
        <v>1867</v>
      </c>
      <c r="I248" s="490"/>
    </row>
    <row r="249" spans="1:9" ht="14.4">
      <c r="A249" s="484"/>
      <c r="B249" s="484"/>
      <c r="D249" s="446"/>
      <c r="E249" s="446"/>
      <c r="F249" s="446"/>
      <c r="I249" s="490"/>
    </row>
    <row r="250" spans="1:9" ht="14.4" customHeight="1">
      <c r="A250" s="484"/>
      <c r="B250" s="485" t="s">
        <v>307</v>
      </c>
      <c r="D250" s="1306" t="s">
        <v>2011</v>
      </c>
      <c r="E250" s="1306"/>
      <c r="F250" s="1306"/>
      <c r="I250" s="490"/>
    </row>
    <row r="251" spans="1:9" ht="14.4">
      <c r="A251" s="484"/>
      <c r="B251" s="484"/>
      <c r="D251" s="1306"/>
      <c r="E251" s="1306"/>
      <c r="F251" s="1306"/>
      <c r="I251" s="490"/>
    </row>
    <row r="252" spans="1:9" ht="14.4">
      <c r="A252" s="484"/>
      <c r="B252" s="484"/>
      <c r="D252" s="1306"/>
      <c r="E252" s="1306"/>
      <c r="F252" s="1306"/>
      <c r="I252" s="490"/>
    </row>
    <row r="253" spans="1:9" ht="14.4">
      <c r="A253" s="484"/>
      <c r="B253" s="484"/>
      <c r="D253" s="1306"/>
      <c r="E253" s="1306"/>
      <c r="F253" s="1306"/>
      <c r="I253" s="490"/>
    </row>
    <row r="254" spans="1:9" ht="14.4">
      <c r="A254" s="484"/>
      <c r="B254" s="484"/>
      <c r="D254" s="1306"/>
      <c r="E254" s="1306"/>
      <c r="F254" s="1306"/>
      <c r="I254" s="490"/>
    </row>
    <row r="255" spans="1:9" ht="14.4">
      <c r="A255" s="484"/>
      <c r="B255" s="484"/>
      <c r="D255" s="445"/>
      <c r="E255" s="445"/>
      <c r="F255" s="445"/>
      <c r="I255" s="490"/>
    </row>
    <row r="256" spans="1:9" ht="14.4">
      <c r="A256" s="484"/>
      <c r="B256" s="485" t="s">
        <v>307</v>
      </c>
      <c r="D256" s="392" t="s">
        <v>2012</v>
      </c>
      <c r="E256" s="445"/>
      <c r="F256" s="445"/>
      <c r="I256" s="490"/>
    </row>
    <row r="257" spans="1:9" ht="14.4">
      <c r="A257" s="484"/>
      <c r="B257" s="484"/>
      <c r="E257" s="1031" t="s">
        <v>1868</v>
      </c>
      <c r="I257" s="490"/>
    </row>
    <row r="258" spans="1:9">
      <c r="D258" s="446"/>
      <c r="E258" s="446"/>
      <c r="F258" s="446"/>
      <c r="I258" s="490"/>
    </row>
    <row r="259" spans="1:9" ht="14.4">
      <c r="A259" s="484"/>
      <c r="B259" s="485" t="s">
        <v>307</v>
      </c>
      <c r="D259" s="1306" t="s">
        <v>1118</v>
      </c>
      <c r="E259" s="1306"/>
      <c r="F259" s="1306"/>
      <c r="I259" s="490"/>
    </row>
    <row r="260" spans="1:9" ht="14.4">
      <c r="A260" s="484"/>
      <c r="B260" s="484"/>
      <c r="D260" s="1306"/>
      <c r="E260" s="1306"/>
      <c r="F260" s="1306"/>
      <c r="I260" s="490"/>
    </row>
    <row r="261" spans="1:9">
      <c r="D261" s="491"/>
      <c r="I261" s="490"/>
    </row>
    <row r="262" spans="1:9">
      <c r="A262" s="1307" t="s">
        <v>1046</v>
      </c>
      <c r="B262" s="1307"/>
      <c r="C262" s="1307"/>
      <c r="D262" s="1307"/>
      <c r="E262" s="1307"/>
      <c r="F262" s="1307"/>
      <c r="G262" s="1307"/>
      <c r="H262" s="1023"/>
      <c r="I262" s="1147"/>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 customHeight="1">
      <c r="A267" s="484"/>
      <c r="B267" s="485" t="s">
        <v>307</v>
      </c>
      <c r="D267" s="1306" t="s">
        <v>1195</v>
      </c>
      <c r="E267" s="1306"/>
      <c r="F267" s="1306"/>
      <c r="I267" s="490"/>
    </row>
    <row r="268" spans="1:9">
      <c r="D268" s="1306"/>
      <c r="E268" s="1306"/>
      <c r="F268" s="1306"/>
      <c r="I268" s="490"/>
    </row>
    <row r="269" spans="1:9">
      <c r="E269" s="1031" t="s">
        <v>1869</v>
      </c>
      <c r="I269" s="490"/>
    </row>
    <row r="270" spans="1:9">
      <c r="D270" s="446"/>
      <c r="E270" s="446"/>
      <c r="F270" s="446"/>
      <c r="I270" s="490"/>
    </row>
    <row r="271" spans="1:9" ht="14.4" customHeight="1">
      <c r="A271" s="484"/>
      <c r="B271" s="485" t="s">
        <v>307</v>
      </c>
      <c r="D271" s="1306" t="s">
        <v>2013</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4">
      <c r="A278" s="484"/>
      <c r="B278" s="485" t="s">
        <v>307</v>
      </c>
      <c r="D278" s="1306" t="s">
        <v>1121</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1047</v>
      </c>
      <c r="B282" s="1307"/>
      <c r="C282" s="1307"/>
      <c r="D282" s="1307"/>
      <c r="E282" s="1307"/>
      <c r="F282" s="1307"/>
      <c r="G282" s="1307"/>
      <c r="H282" s="1023"/>
      <c r="I282" s="1147"/>
    </row>
    <row r="283" spans="1:9">
      <c r="D283" s="492"/>
      <c r="E283" s="446"/>
      <c r="F283" s="446"/>
      <c r="I283" s="490"/>
    </row>
    <row r="284" spans="1:9">
      <c r="C284" s="482"/>
      <c r="D284" s="1326" t="s">
        <v>1122</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1123</v>
      </c>
      <c r="E288" s="1335"/>
      <c r="F288" s="1335"/>
      <c r="I288" s="490"/>
    </row>
    <row r="289" spans="1:9">
      <c r="E289" s="446"/>
      <c r="F289" s="446"/>
      <c r="I289" s="490"/>
    </row>
    <row r="290" spans="1:9" ht="14.4">
      <c r="A290" s="484"/>
      <c r="B290" s="485" t="s">
        <v>307</v>
      </c>
      <c r="D290" s="1306" t="s">
        <v>1124</v>
      </c>
      <c r="E290" s="1306"/>
      <c r="F290" s="1306"/>
      <c r="I290" s="490"/>
    </row>
    <row r="291" spans="1:9" ht="14.4">
      <c r="A291" s="484"/>
      <c r="B291" s="484"/>
      <c r="D291" s="1306"/>
      <c r="E291" s="1306"/>
      <c r="F291" s="1306"/>
      <c r="I291" s="490"/>
    </row>
    <row r="292" spans="1:9">
      <c r="D292" s="446"/>
      <c r="E292" s="446"/>
      <c r="F292" s="446"/>
      <c r="I292" s="490"/>
    </row>
    <row r="293" spans="1:9" ht="14.4">
      <c r="A293" s="484"/>
      <c r="B293" s="485" t="s">
        <v>307</v>
      </c>
      <c r="D293" s="1306" t="s">
        <v>1125</v>
      </c>
      <c r="E293" s="1306"/>
      <c r="F293" s="1306"/>
      <c r="I293" s="490"/>
    </row>
    <row r="294" spans="1:9" ht="14.4">
      <c r="A294" s="484"/>
      <c r="B294" s="484"/>
      <c r="D294" s="1306"/>
      <c r="E294" s="1306"/>
      <c r="F294" s="1306"/>
      <c r="I294" s="490"/>
    </row>
    <row r="295" spans="1:9" ht="14.4">
      <c r="A295" s="484"/>
      <c r="B295" s="484"/>
      <c r="D295" s="1306"/>
      <c r="E295" s="1306"/>
      <c r="F295" s="1306"/>
      <c r="I295" s="490"/>
    </row>
    <row r="296" spans="1:9">
      <c r="D296" s="446"/>
      <c r="E296" s="446"/>
      <c r="F296" s="446"/>
      <c r="I296" s="490"/>
    </row>
    <row r="297" spans="1:9" ht="14.4">
      <c r="A297" s="484"/>
      <c r="B297" s="485" t="s">
        <v>307</v>
      </c>
      <c r="D297" s="1306" t="s">
        <v>1126</v>
      </c>
      <c r="E297" s="1306"/>
      <c r="F297" s="1306"/>
      <c r="I297" s="490"/>
    </row>
    <row r="298" spans="1:9" ht="14.4">
      <c r="A298" s="484"/>
      <c r="B298" s="484"/>
      <c r="D298" s="1306"/>
      <c r="E298" s="1306"/>
      <c r="F298" s="1306"/>
      <c r="I298" s="490"/>
    </row>
    <row r="299" spans="1:9">
      <c r="A299" s="490"/>
      <c r="B299" s="490"/>
      <c r="E299" s="446"/>
      <c r="F299" s="446"/>
      <c r="I299" s="490"/>
    </row>
    <row r="300" spans="1:9">
      <c r="A300" s="1307" t="s">
        <v>1048</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1127</v>
      </c>
      <c r="E303" s="1308"/>
      <c r="F303" s="1308"/>
      <c r="I303" s="490"/>
    </row>
    <row r="304" spans="1:9">
      <c r="C304" s="490"/>
      <c r="D304" s="493"/>
      <c r="I304" s="490"/>
    </row>
    <row r="305" spans="1:9">
      <c r="B305" s="485" t="s">
        <v>307</v>
      </c>
      <c r="D305" s="1308" t="s">
        <v>1128</v>
      </c>
      <c r="E305" s="1308"/>
      <c r="F305" s="1308"/>
      <c r="I305" s="490"/>
    </row>
    <row r="306" spans="1:9" ht="14.4">
      <c r="A306" s="484"/>
      <c r="B306" s="484"/>
      <c r="D306" s="494"/>
      <c r="E306" s="495"/>
      <c r="F306" s="495"/>
      <c r="I306" s="490"/>
    </row>
    <row r="307" spans="1:9" ht="13.65" customHeight="1">
      <c r="B307" s="485" t="s">
        <v>307</v>
      </c>
      <c r="D307" s="1319" t="s">
        <v>1218</v>
      </c>
      <c r="E307" s="1319"/>
      <c r="F307" s="1319"/>
      <c r="I307" s="490"/>
    </row>
    <row r="308" spans="1:9" ht="14.4">
      <c r="A308" s="484"/>
      <c r="B308" s="484"/>
      <c r="D308" s="1319"/>
      <c r="E308" s="1319"/>
      <c r="F308" s="1319"/>
      <c r="I308" s="490"/>
    </row>
    <row r="309" spans="1:9" ht="14.4">
      <c r="A309" s="484"/>
      <c r="B309" s="484"/>
      <c r="D309" s="1319"/>
      <c r="E309" s="1319"/>
      <c r="F309" s="1319"/>
      <c r="I309" s="490"/>
    </row>
    <row r="310" spans="1:9" ht="14.4">
      <c r="A310" s="484"/>
      <c r="B310" s="484"/>
      <c r="D310" s="1319"/>
      <c r="E310" s="1319"/>
      <c r="F310" s="1319"/>
      <c r="I310" s="490"/>
    </row>
    <row r="311" spans="1:9" ht="14.4">
      <c r="A311" s="484"/>
      <c r="B311" s="484"/>
      <c r="D311" s="1319"/>
      <c r="E311" s="1319"/>
      <c r="F311" s="1319"/>
      <c r="I311" s="490"/>
    </row>
    <row r="312" spans="1:9" ht="14.4">
      <c r="A312" s="484"/>
      <c r="B312" s="484"/>
      <c r="D312" s="494"/>
      <c r="E312" s="495"/>
      <c r="F312" s="495"/>
      <c r="I312" s="490"/>
    </row>
    <row r="313" spans="1:9" ht="13.65" customHeight="1">
      <c r="B313" s="485" t="s">
        <v>307</v>
      </c>
      <c r="D313" s="1319" t="s">
        <v>1129</v>
      </c>
      <c r="E313" s="1319"/>
      <c r="F313" s="1319"/>
      <c r="I313" s="490"/>
    </row>
    <row r="314" spans="1:9">
      <c r="D314" s="1319"/>
      <c r="E314" s="1319"/>
      <c r="F314" s="1319"/>
      <c r="I314" s="490"/>
    </row>
    <row r="315" spans="1:9" ht="14.4">
      <c r="A315" s="484"/>
      <c r="B315" s="484"/>
      <c r="D315" s="494"/>
      <c r="E315" s="495"/>
      <c r="F315" s="495"/>
      <c r="I315" s="490"/>
    </row>
    <row r="316" spans="1:9">
      <c r="B316" s="485" t="s">
        <v>307</v>
      </c>
      <c r="D316" s="1308" t="s">
        <v>1130</v>
      </c>
      <c r="E316" s="1308"/>
      <c r="F316" s="1308"/>
      <c r="I316" s="490"/>
    </row>
    <row r="317" spans="1:9">
      <c r="E317" s="446"/>
      <c r="F317" s="446"/>
      <c r="I317" s="490"/>
    </row>
    <row r="318" spans="1:9" ht="14.4">
      <c r="A318" s="484"/>
      <c r="B318" s="485" t="s">
        <v>307</v>
      </c>
      <c r="D318" s="1306" t="s">
        <v>2196</v>
      </c>
      <c r="E318" s="1306"/>
      <c r="F318" s="1306"/>
      <c r="I318" s="490"/>
    </row>
    <row r="319" spans="1:9" ht="14.4">
      <c r="A319" s="484"/>
      <c r="B319" s="484"/>
      <c r="D319" s="1306"/>
      <c r="E319" s="1306"/>
      <c r="F319" s="1306"/>
      <c r="I319" s="490"/>
    </row>
    <row r="320" spans="1:9" ht="14.4">
      <c r="A320" s="484"/>
      <c r="B320" s="484"/>
      <c r="D320" s="1306"/>
      <c r="E320" s="1306"/>
      <c r="F320" s="1306"/>
      <c r="I320" s="490"/>
    </row>
    <row r="321" spans="1:9" ht="14.4">
      <c r="A321" s="484"/>
      <c r="B321" s="484"/>
      <c r="D321" s="1306"/>
      <c r="E321" s="1306"/>
      <c r="F321" s="1306"/>
      <c r="I321" s="490"/>
    </row>
    <row r="322" spans="1:9" ht="14.4">
      <c r="A322" s="484"/>
      <c r="B322" s="484"/>
      <c r="D322" s="1306"/>
      <c r="E322" s="1306"/>
      <c r="F322" s="1306"/>
      <c r="I322" s="490"/>
    </row>
    <row r="323" spans="1:9" ht="14.4">
      <c r="A323" s="484"/>
      <c r="B323" s="484"/>
      <c r="D323" s="1306"/>
      <c r="E323" s="1306"/>
      <c r="F323" s="1306"/>
      <c r="I323" s="490"/>
    </row>
    <row r="324" spans="1:9" ht="14.4">
      <c r="A324" s="484"/>
      <c r="B324" s="484"/>
      <c r="D324" s="1306"/>
      <c r="E324" s="1306"/>
      <c r="F324" s="1306"/>
      <c r="I324" s="490"/>
    </row>
    <row r="325" spans="1:9" ht="14.4">
      <c r="A325" s="484"/>
      <c r="B325" s="484"/>
      <c r="D325" s="1306"/>
      <c r="E325" s="1306"/>
      <c r="F325" s="1306"/>
      <c r="I325" s="490"/>
    </row>
    <row r="326" spans="1:9" ht="14.4">
      <c r="A326" s="484"/>
      <c r="B326" s="484"/>
      <c r="D326" s="1306"/>
      <c r="E326" s="1306"/>
      <c r="F326" s="1306"/>
      <c r="I326" s="490"/>
    </row>
    <row r="327" spans="1:9" ht="14.4">
      <c r="A327" s="484"/>
      <c r="B327" s="484"/>
      <c r="D327" s="1306"/>
      <c r="E327" s="1306"/>
      <c r="F327" s="1306"/>
      <c r="I327" s="490"/>
    </row>
    <row r="328" spans="1:9" ht="14.4">
      <c r="A328" s="484"/>
      <c r="B328" s="484"/>
      <c r="D328" s="1306"/>
      <c r="E328" s="1306"/>
      <c r="F328" s="1306"/>
      <c r="I328" s="490"/>
    </row>
    <row r="329" spans="1:9" ht="14.4">
      <c r="A329" s="484"/>
      <c r="B329" s="484"/>
      <c r="D329" s="1306"/>
      <c r="E329" s="1306"/>
      <c r="F329" s="1306"/>
      <c r="I329" s="490"/>
    </row>
    <row r="330" spans="1:9" ht="14.4">
      <c r="A330" s="484"/>
      <c r="B330" s="484"/>
      <c r="D330" s="1306"/>
      <c r="E330" s="1306"/>
      <c r="F330" s="1306"/>
      <c r="I330" s="490"/>
    </row>
    <row r="331" spans="1:9" ht="14.4">
      <c r="A331" s="484"/>
      <c r="B331" s="484"/>
      <c r="D331" s="1306"/>
      <c r="E331" s="1306"/>
      <c r="F331" s="1306"/>
      <c r="I331" s="490"/>
    </row>
    <row r="332" spans="1:9" ht="14.4">
      <c r="A332" s="484"/>
      <c r="B332" s="484"/>
      <c r="D332" s="1306"/>
      <c r="E332" s="1306"/>
      <c r="F332" s="1306"/>
      <c r="I332" s="490"/>
    </row>
    <row r="333" spans="1:9">
      <c r="D333" s="446"/>
      <c r="E333" s="446"/>
      <c r="F333" s="446"/>
      <c r="I333" s="490"/>
    </row>
    <row r="334" spans="1:9" ht="14.4">
      <c r="A334" s="484"/>
      <c r="B334" s="485" t="s">
        <v>307</v>
      </c>
      <c r="D334" s="1306" t="s">
        <v>1131</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307</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8" thickBot="1">
      <c r="A351" s="1017"/>
      <c r="B351" s="1017"/>
      <c r="C351" s="1017"/>
      <c r="D351" s="1317" t="s">
        <v>978</v>
      </c>
      <c r="E351" s="1317"/>
      <c r="F351" s="1317"/>
      <c r="G351" s="1022"/>
      <c r="H351" s="1022"/>
      <c r="I351" s="1150"/>
    </row>
    <row r="352" spans="1:9" ht="13.8" thickTop="1">
      <c r="D352" s="1327" t="s">
        <v>2197</v>
      </c>
      <c r="E352" s="1327"/>
      <c r="F352" s="1327"/>
      <c r="I352" s="490"/>
    </row>
    <row r="353" spans="1:9">
      <c r="D353" s="446"/>
      <c r="E353" s="446"/>
      <c r="F353" s="446"/>
      <c r="I353" s="490"/>
    </row>
    <row r="354" spans="1:9">
      <c r="A354" s="476"/>
      <c r="B354" s="476"/>
      <c r="C354" s="476"/>
      <c r="D354" s="447"/>
      <c r="E354" s="447"/>
      <c r="F354" s="446"/>
      <c r="I354" s="490"/>
    </row>
    <row r="355" spans="1:9" ht="14.4">
      <c r="A355" s="484"/>
      <c r="B355" s="485" t="s">
        <v>307</v>
      </c>
      <c r="C355" s="487"/>
      <c r="D355" s="1308" t="s">
        <v>1872</v>
      </c>
      <c r="E355" s="1308"/>
      <c r="F355" s="1308"/>
      <c r="I355" s="490"/>
    </row>
    <row r="356" spans="1:9" ht="12.75" customHeight="1">
      <c r="D356" s="1032"/>
      <c r="E356" s="96" t="s">
        <v>1871</v>
      </c>
      <c r="F356" s="1032"/>
      <c r="I356" s="490"/>
    </row>
    <row r="357" spans="1:9">
      <c r="D357" s="1306" t="s">
        <v>1238</v>
      </c>
      <c r="E357" s="1306"/>
      <c r="F357" s="1306"/>
      <c r="I357" s="490"/>
    </row>
    <row r="358" spans="1:9">
      <c r="D358" s="1306"/>
      <c r="E358" s="1306"/>
      <c r="F358" s="1306"/>
      <c r="I358" s="490"/>
    </row>
    <row r="359" spans="1:9">
      <c r="D359" s="1306"/>
      <c r="E359" s="1306"/>
      <c r="F359" s="1306"/>
      <c r="I359" s="490"/>
    </row>
    <row r="360" spans="1:9" ht="14.4">
      <c r="A360" s="484"/>
      <c r="B360" s="485" t="s">
        <v>307</v>
      </c>
      <c r="C360" s="476"/>
      <c r="D360" s="1316" t="s">
        <v>2014</v>
      </c>
      <c r="E360" s="1316"/>
      <c r="F360" s="1316"/>
      <c r="I360" s="480"/>
    </row>
    <row r="361" spans="1:9">
      <c r="A361" s="476"/>
      <c r="B361" s="476"/>
      <c r="C361" s="476"/>
      <c r="D361" s="447"/>
      <c r="E361" s="447"/>
      <c r="F361" s="446"/>
      <c r="I361" s="490"/>
    </row>
    <row r="362" spans="1:9">
      <c r="A362" s="476"/>
      <c r="B362" s="485" t="s">
        <v>307</v>
      </c>
      <c r="C362" s="476"/>
      <c r="D362" s="1278" t="s">
        <v>2015</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5" customHeight="1">
      <c r="A375" s="476"/>
      <c r="B375" s="485" t="s">
        <v>307</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4">
      <c r="A387" s="484"/>
      <c r="B387" s="485" t="s">
        <v>307</v>
      </c>
      <c r="C387" s="476"/>
      <c r="D387" s="1278" t="s">
        <v>1132</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1133</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65" customHeight="1">
      <c r="A401" s="476"/>
      <c r="B401" s="476"/>
      <c r="C401" s="476"/>
      <c r="D401" s="1278" t="s">
        <v>1134</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307</v>
      </c>
      <c r="C420" s="476"/>
      <c r="D420" s="1278" t="s">
        <v>1135</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 customHeight="1">
      <c r="A423" s="484"/>
      <c r="B423" s="485" t="s">
        <v>307</v>
      </c>
      <c r="D423" s="1278" t="s">
        <v>1854</v>
      </c>
      <c r="E423" s="1278"/>
      <c r="F423" s="1278"/>
      <c r="I423" s="490"/>
    </row>
    <row r="424" spans="1:9" ht="14.4" customHeight="1">
      <c r="A424" s="484"/>
      <c r="D424" s="1278"/>
      <c r="E424" s="1278"/>
      <c r="F424" s="1278"/>
      <c r="I424" s="490"/>
    </row>
    <row r="425" spans="1:9" ht="14.4" customHeight="1">
      <c r="A425" s="484"/>
      <c r="D425" s="1278"/>
      <c r="E425" s="1278"/>
      <c r="F425" s="1278"/>
      <c r="I425" s="490"/>
    </row>
    <row r="426" spans="1:9" ht="14.4" customHeight="1">
      <c r="A426" s="484"/>
      <c r="D426" s="1278"/>
      <c r="E426" s="1278"/>
      <c r="F426" s="1278"/>
      <c r="I426" s="490"/>
    </row>
    <row r="427" spans="1:9" ht="14.4" customHeight="1">
      <c r="A427" s="484"/>
      <c r="D427" s="1278"/>
      <c r="E427" s="1278"/>
      <c r="F427" s="1278"/>
      <c r="I427" s="490"/>
    </row>
    <row r="428" spans="1:9" ht="14.4" customHeight="1">
      <c r="A428" s="484"/>
      <c r="D428" s="385"/>
      <c r="E428" s="385"/>
      <c r="F428" s="385"/>
      <c r="I428" s="490"/>
    </row>
    <row r="429" spans="1:9" ht="13.65" customHeight="1">
      <c r="A429" s="484"/>
      <c r="B429" s="485" t="s">
        <v>307</v>
      </c>
      <c r="C429" s="476"/>
      <c r="D429" s="1278" t="s">
        <v>1239</v>
      </c>
      <c r="E429" s="1278"/>
      <c r="F429" s="1278"/>
      <c r="I429" s="490"/>
    </row>
    <row r="430" spans="1:9" ht="14.4">
      <c r="A430" s="497"/>
      <c r="B430" s="497"/>
      <c r="C430" s="476"/>
      <c r="D430" s="1278"/>
      <c r="E430" s="1278"/>
      <c r="F430" s="1278"/>
      <c r="I430" s="490"/>
    </row>
    <row r="431" spans="1:9" ht="14.4">
      <c r="A431" s="497"/>
      <c r="B431" s="497"/>
      <c r="C431" s="476"/>
      <c r="D431" s="1278"/>
      <c r="E431" s="1278"/>
      <c r="F431" s="1278"/>
      <c r="I431" s="490"/>
    </row>
    <row r="432" spans="1:9" ht="14.4">
      <c r="A432" s="497"/>
      <c r="B432" s="497"/>
      <c r="C432" s="476"/>
      <c r="D432" s="1278"/>
      <c r="E432" s="1278"/>
      <c r="F432" s="1278"/>
      <c r="I432" s="490"/>
    </row>
    <row r="433" spans="1:9" ht="15.75" customHeight="1">
      <c r="A433" s="497"/>
      <c r="B433" s="497"/>
      <c r="C433" s="476"/>
      <c r="D433" s="1337" t="s">
        <v>2606</v>
      </c>
      <c r="E433" s="1278"/>
      <c r="F433" s="1278"/>
      <c r="I433" s="490"/>
    </row>
    <row r="434" spans="1:9">
      <c r="D434" s="446"/>
      <c r="E434" s="446"/>
      <c r="F434" s="446"/>
      <c r="I434" s="490"/>
    </row>
    <row r="435" spans="1:9" ht="14.4">
      <c r="A435" s="484"/>
      <c r="B435" s="485" t="s">
        <v>307</v>
      </c>
      <c r="C435" s="487"/>
      <c r="D435" s="1306" t="s">
        <v>2016</v>
      </c>
      <c r="E435" s="1306"/>
      <c r="F435" s="1306"/>
      <c r="I435" s="490"/>
    </row>
    <row r="436" spans="1:9" ht="14.4">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65" customHeight="1">
      <c r="D465" s="1306"/>
      <c r="E465" s="1306"/>
      <c r="F465" s="1306"/>
      <c r="I465" s="490"/>
    </row>
    <row r="466" spans="1:9">
      <c r="D466" s="446"/>
      <c r="E466" s="446"/>
      <c r="F466" s="446"/>
      <c r="I466" s="490"/>
    </row>
    <row r="467" spans="1:9" ht="14.4">
      <c r="A467" s="484"/>
      <c r="B467" s="485" t="s">
        <v>307</v>
      </c>
      <c r="C467" s="487"/>
      <c r="D467" s="1306" t="s">
        <v>1136</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4">
      <c r="B471" s="485" t="s">
        <v>307</v>
      </c>
      <c r="C471" s="484"/>
      <c r="D471" s="1306" t="s">
        <v>1196</v>
      </c>
      <c r="E471" s="1306"/>
      <c r="F471" s="1306"/>
      <c r="I471" s="490"/>
    </row>
    <row r="472" spans="1:9">
      <c r="D472" s="1306"/>
      <c r="E472" s="1306"/>
      <c r="F472" s="1306"/>
      <c r="I472" s="490"/>
    </row>
    <row r="473" spans="1:9">
      <c r="D473" s="446"/>
      <c r="E473" s="446"/>
      <c r="F473" s="446"/>
      <c r="I473" s="490"/>
    </row>
    <row r="474" spans="1:9" ht="14.4">
      <c r="B474" s="485" t="s">
        <v>307</v>
      </c>
      <c r="C474" s="484"/>
      <c r="D474" s="1306" t="s">
        <v>1137</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307</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307</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307</v>
      </c>
      <c r="C486" s="402"/>
      <c r="D486" s="1306"/>
      <c r="E486" s="1306"/>
      <c r="F486" s="1306"/>
      <c r="I486" s="490"/>
    </row>
    <row r="487" spans="1:9">
      <c r="A487" s="402"/>
      <c r="C487" s="402"/>
      <c r="D487" s="1306"/>
      <c r="E487" s="1306"/>
      <c r="F487" s="1306"/>
      <c r="I487" s="490"/>
    </row>
    <row r="488" spans="1:9">
      <c r="A488" s="402"/>
      <c r="B488" s="485" t="s">
        <v>307</v>
      </c>
      <c r="C488" s="402"/>
      <c r="D488" s="1306" t="s">
        <v>1138</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307</v>
      </c>
      <c r="D494" s="1308" t="s">
        <v>1139</v>
      </c>
      <c r="E494" s="1308"/>
      <c r="F494" s="1308"/>
      <c r="I494" s="490"/>
    </row>
    <row r="495" spans="1:9">
      <c r="A495" s="446"/>
      <c r="B495" s="446"/>
      <c r="I495" s="490"/>
    </row>
    <row r="496" spans="1:9">
      <c r="A496" s="1307" t="s">
        <v>1049</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ht="14.4">
      <c r="A499" s="484"/>
      <c r="B499" s="484"/>
      <c r="D499" s="1316" t="s">
        <v>1140</v>
      </c>
      <c r="E499" s="1316"/>
      <c r="F499" s="1316"/>
      <c r="I499" s="490"/>
    </row>
    <row r="500" spans="1:9" ht="14.4">
      <c r="A500" s="484"/>
      <c r="B500" s="484"/>
      <c r="D500" s="447"/>
      <c r="I500" s="490"/>
    </row>
    <row r="501" spans="1:9" ht="14.4">
      <c r="A501" s="484"/>
      <c r="B501" s="485" t="s">
        <v>307</v>
      </c>
      <c r="D501" s="1278" t="s">
        <v>1141</v>
      </c>
      <c r="E501" s="1278"/>
      <c r="F501" s="1278"/>
      <c r="I501" s="490"/>
    </row>
    <row r="502" spans="1:9" ht="14.4">
      <c r="A502" s="484"/>
      <c r="B502" s="484"/>
      <c r="D502" s="1278"/>
      <c r="E502" s="1278"/>
      <c r="F502" s="1278"/>
      <c r="I502" s="490"/>
    </row>
    <row r="503" spans="1:9" ht="14.4">
      <c r="A503" s="484"/>
      <c r="B503" s="484"/>
      <c r="D503" s="446"/>
      <c r="I503" s="490"/>
    </row>
    <row r="504" spans="1:9" ht="12.75" customHeight="1">
      <c r="B504" s="485" t="s">
        <v>307</v>
      </c>
      <c r="D504" s="1322" t="s">
        <v>1272</v>
      </c>
      <c r="E504" s="1322"/>
      <c r="F504" s="1322"/>
      <c r="I504" s="490"/>
    </row>
    <row r="505" spans="1:9" ht="14.4">
      <c r="A505" s="484"/>
      <c r="D505" s="1322"/>
      <c r="E505" s="1322"/>
      <c r="F505" s="1322"/>
      <c r="I505" s="490"/>
    </row>
    <row r="506" spans="1:9" ht="14.4">
      <c r="A506" s="484"/>
      <c r="B506" s="484"/>
      <c r="D506" s="1322"/>
      <c r="E506" s="1322"/>
      <c r="F506" s="1322"/>
      <c r="I506" s="490"/>
    </row>
    <row r="507" spans="1:9" ht="14.4">
      <c r="A507" s="484"/>
      <c r="B507" s="484"/>
      <c r="D507" s="1322"/>
      <c r="E507" s="1322"/>
      <c r="F507" s="1322"/>
      <c r="I507" s="490"/>
    </row>
    <row r="508" spans="1:9" ht="14.4">
      <c r="A508" s="484"/>
      <c r="D508" s="520"/>
      <c r="E508" s="520"/>
      <c r="F508" s="520"/>
      <c r="I508" s="490"/>
    </row>
    <row r="509" spans="1:9" ht="14.4">
      <c r="A509" s="484"/>
      <c r="B509" s="485" t="s">
        <v>307</v>
      </c>
      <c r="D509" s="1308" t="s">
        <v>1142</v>
      </c>
      <c r="E509" s="1308"/>
      <c r="F509" s="1308"/>
      <c r="I509" s="490"/>
    </row>
    <row r="510" spans="1:9" ht="14.4">
      <c r="A510" s="484"/>
      <c r="B510" s="484"/>
      <c r="D510" s="446"/>
      <c r="I510" s="490"/>
    </row>
    <row r="511" spans="1:9" ht="14.4">
      <c r="A511" s="484"/>
      <c r="B511" s="485" t="s">
        <v>307</v>
      </c>
      <c r="D511" s="1306" t="s">
        <v>1143</v>
      </c>
      <c r="E511" s="1306"/>
      <c r="F511" s="1306"/>
      <c r="I511" s="490"/>
    </row>
    <row r="512" spans="1:9" ht="14.4">
      <c r="A512" s="484"/>
      <c r="D512" s="1306"/>
      <c r="E512" s="1306"/>
      <c r="F512" s="1306"/>
      <c r="I512" s="490"/>
    </row>
    <row r="513" spans="1:9">
      <c r="A513" s="490"/>
      <c r="B513" s="490"/>
      <c r="D513" s="447"/>
      <c r="I513" s="490"/>
    </row>
    <row r="514" spans="1:9">
      <c r="A514" s="490"/>
      <c r="B514" s="485" t="s">
        <v>307</v>
      </c>
      <c r="D514" s="1308" t="s">
        <v>1144</v>
      </c>
      <c r="E514" s="1308"/>
      <c r="F514" s="1308"/>
      <c r="I514" s="490"/>
    </row>
    <row r="515" spans="1:9">
      <c r="D515" s="446"/>
      <c r="E515" s="446"/>
      <c r="F515" s="446"/>
      <c r="I515" s="490"/>
    </row>
    <row r="516" spans="1:9">
      <c r="B516" s="485" t="s">
        <v>307</v>
      </c>
      <c r="D516" s="1306" t="s">
        <v>2219</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4">
      <c r="A520" s="484"/>
      <c r="B520" s="484"/>
      <c r="D520" s="446"/>
      <c r="I520" s="490"/>
    </row>
    <row r="521" spans="1:9">
      <c r="A521" s="1307" t="s">
        <v>1050</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307</v>
      </c>
      <c r="C527" s="483"/>
      <c r="D527" s="1278" t="s">
        <v>2017</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307</v>
      </c>
      <c r="D530" s="386" t="s">
        <v>1875</v>
      </c>
      <c r="E530" s="385"/>
      <c r="F530" s="385"/>
      <c r="I530" s="490"/>
    </row>
    <row r="531" spans="1:9">
      <c r="A531" s="483"/>
      <c r="B531" s="483"/>
      <c r="C531" s="483"/>
      <c r="D531" s="385"/>
      <c r="E531" s="96" t="s">
        <v>1876</v>
      </c>
      <c r="I531" s="490"/>
    </row>
    <row r="532" spans="1:9">
      <c r="A532" s="483"/>
      <c r="B532" s="483"/>
      <c r="D532" s="1286" t="s">
        <v>2018</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307</v>
      </c>
      <c r="C536" s="483"/>
      <c r="D536" s="1306" t="s">
        <v>2630</v>
      </c>
      <c r="E536" s="1306"/>
      <c r="F536" s="1306"/>
      <c r="I536" s="490"/>
    </row>
    <row r="537" spans="1:9" ht="13.2"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1051</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1052</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1080</v>
      </c>
      <c r="E547" s="1308"/>
      <c r="F547" s="1308"/>
      <c r="I547" s="490"/>
    </row>
    <row r="548" spans="1:9">
      <c r="C548" s="487"/>
      <c r="D548" s="446"/>
      <c r="E548" s="446"/>
      <c r="F548" s="446"/>
      <c r="I548" s="490"/>
    </row>
    <row r="549" spans="1:9" ht="13.65" customHeight="1">
      <c r="A549" s="484"/>
      <c r="B549" s="485" t="s">
        <v>307</v>
      </c>
      <c r="C549" s="487"/>
      <c r="D549" s="1308" t="s">
        <v>884</v>
      </c>
      <c r="E549" s="1308"/>
      <c r="F549" s="1308"/>
      <c r="I549" s="490"/>
    </row>
    <row r="550" spans="1:9" ht="13.65" customHeight="1">
      <c r="A550" s="487"/>
      <c r="B550" s="487"/>
      <c r="C550" s="487"/>
      <c r="D550" s="446"/>
      <c r="I550" s="490"/>
    </row>
    <row r="551" spans="1:9" ht="14.4">
      <c r="A551" s="484"/>
      <c r="B551" s="485" t="s">
        <v>307</v>
      </c>
      <c r="C551" s="487"/>
      <c r="D551" s="1306" t="s">
        <v>1081</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4">
      <c r="A554" s="484"/>
      <c r="B554" s="485" t="s">
        <v>307</v>
      </c>
      <c r="C554" s="487"/>
      <c r="D554" s="1306" t="s">
        <v>1082</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4">
      <c r="A557" s="484"/>
      <c r="B557" s="485" t="s">
        <v>307</v>
      </c>
      <c r="C557" s="487"/>
      <c r="D557" s="1306" t="s">
        <v>1083</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4">
      <c r="A560" s="484"/>
      <c r="B560" s="485" t="s">
        <v>307</v>
      </c>
      <c r="C560" s="487"/>
      <c r="D560" s="1306" t="s">
        <v>1084</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4">
      <c r="A564" s="484"/>
      <c r="B564" s="485" t="s">
        <v>307</v>
      </c>
      <c r="C564" s="487"/>
      <c r="D564" s="1306" t="s">
        <v>2198</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4">
      <c r="A567" s="484"/>
      <c r="B567" s="485" t="s">
        <v>307</v>
      </c>
      <c r="C567" s="487"/>
      <c r="D567" s="1306" t="s">
        <v>1085</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4">
      <c r="A570" s="484"/>
      <c r="B570" s="485" t="s">
        <v>307</v>
      </c>
      <c r="C570" s="487"/>
      <c r="D570" s="1308" t="s">
        <v>1086</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ht="14.4">
      <c r="A573" s="484"/>
      <c r="B573" s="484"/>
      <c r="C573" s="487"/>
      <c r="E573" s="446"/>
      <c r="F573" s="446"/>
      <c r="I573" s="490"/>
    </row>
    <row r="574" spans="1:9" ht="14.4">
      <c r="A574" s="484"/>
      <c r="B574" s="485" t="s">
        <v>307</v>
      </c>
      <c r="C574" s="487"/>
      <c r="D574" s="1308" t="s">
        <v>1087</v>
      </c>
      <c r="E574" s="1308"/>
      <c r="F574" s="1308"/>
      <c r="I574" s="490"/>
    </row>
    <row r="575" spans="1:9">
      <c r="C575" s="487"/>
      <c r="D575" s="1306" t="s">
        <v>1088</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4">
      <c r="A579" s="484"/>
      <c r="B579" s="485" t="s">
        <v>307</v>
      </c>
      <c r="C579" s="487"/>
      <c r="D579" s="1306" t="s">
        <v>2019</v>
      </c>
      <c r="E579" s="1306"/>
      <c r="F579" s="1306"/>
      <c r="I579" s="490"/>
    </row>
    <row r="580" spans="1:9" ht="14.4">
      <c r="A580" s="484"/>
      <c r="B580" s="484"/>
      <c r="C580" s="487"/>
      <c r="D580" s="1306"/>
      <c r="E580" s="1306"/>
      <c r="F580" s="1306"/>
      <c r="I580" s="490"/>
    </row>
    <row r="581" spans="1:9" ht="14.4">
      <c r="A581" s="484"/>
      <c r="B581" s="484"/>
      <c r="C581" s="487"/>
      <c r="D581" s="1306"/>
      <c r="E581" s="1306"/>
      <c r="F581" s="1306"/>
      <c r="I581" s="490"/>
    </row>
    <row r="582" spans="1:9" ht="14.4">
      <c r="A582" s="484"/>
      <c r="B582" s="484"/>
      <c r="C582" s="487"/>
      <c r="D582" s="1306"/>
      <c r="E582" s="1306"/>
      <c r="F582" s="1306"/>
      <c r="I582" s="490"/>
    </row>
    <row r="583" spans="1:9" ht="14.4">
      <c r="A583" s="484"/>
      <c r="B583" s="484"/>
      <c r="C583" s="487"/>
      <c r="D583" s="446"/>
      <c r="E583" s="446"/>
      <c r="F583" s="446"/>
      <c r="I583" s="490"/>
    </row>
    <row r="584" spans="1:9">
      <c r="A584" s="1307" t="s">
        <v>1053</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1066</v>
      </c>
      <c r="E587" s="1322"/>
      <c r="F587" s="1322"/>
      <c r="I587" s="490"/>
    </row>
    <row r="588" spans="1:9">
      <c r="A588" s="402"/>
      <c r="B588" s="402"/>
      <c r="C588" s="483"/>
      <c r="D588" s="499"/>
      <c r="I588" s="490"/>
    </row>
    <row r="589" spans="1:9">
      <c r="A589" s="483"/>
      <c r="B589" s="485" t="s">
        <v>307</v>
      </c>
      <c r="D589" s="1322" t="s">
        <v>888</v>
      </c>
      <c r="E589" s="1322"/>
      <c r="F589" s="1322"/>
      <c r="I589" s="490"/>
    </row>
    <row r="590" spans="1:9">
      <c r="A590" s="490"/>
      <c r="B590" s="490"/>
      <c r="D590" s="476"/>
      <c r="I590" s="490"/>
    </row>
    <row r="591" spans="1:9">
      <c r="A591" s="490"/>
      <c r="B591" s="485" t="s">
        <v>307</v>
      </c>
      <c r="D591" s="1322" t="s">
        <v>2020</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307</v>
      </c>
      <c r="D595" s="1322" t="s">
        <v>1067</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307</v>
      </c>
      <c r="D600" s="1322" t="s">
        <v>2021</v>
      </c>
      <c r="E600" s="1322"/>
      <c r="F600" s="1322"/>
      <c r="I600" s="490"/>
    </row>
    <row r="601" spans="1:9">
      <c r="A601" s="490"/>
      <c r="B601" s="490"/>
      <c r="D601" s="1322"/>
      <c r="E601" s="1322"/>
      <c r="F601" s="1322"/>
      <c r="I601" s="490"/>
    </row>
    <row r="602" spans="1:9">
      <c r="A602" s="490"/>
      <c r="B602" s="490"/>
      <c r="D602" s="499"/>
      <c r="I602" s="490"/>
    </row>
    <row r="603" spans="1:9">
      <c r="A603" s="490"/>
      <c r="B603" s="485" t="s">
        <v>307</v>
      </c>
      <c r="D603" s="1322" t="s">
        <v>1068</v>
      </c>
      <c r="E603" s="1322"/>
      <c r="F603" s="1322"/>
      <c r="I603" s="490"/>
    </row>
    <row r="604" spans="1:9">
      <c r="A604" s="490"/>
      <c r="B604" s="490"/>
      <c r="D604" s="1322"/>
      <c r="E604" s="1322"/>
      <c r="F604" s="1322"/>
      <c r="I604" s="490"/>
    </row>
    <row r="605" spans="1:9" ht="14.4">
      <c r="A605" s="484"/>
      <c r="B605" s="484"/>
      <c r="D605" s="499"/>
      <c r="I605" s="490"/>
    </row>
    <row r="606" spans="1:9">
      <c r="A606" s="1307" t="s">
        <v>1054</v>
      </c>
      <c r="B606" s="1307"/>
      <c r="C606" s="1307"/>
      <c r="D606" s="1307"/>
      <c r="E606" s="1307"/>
      <c r="F606" s="1307"/>
      <c r="G606" s="1307"/>
      <c r="H606" s="1023"/>
      <c r="I606" s="1147"/>
    </row>
    <row r="607" spans="1:9">
      <c r="I607" s="490"/>
    </row>
    <row r="608" spans="1:9">
      <c r="D608" s="1309" t="s">
        <v>1106</v>
      </c>
      <c r="E608" s="1309"/>
      <c r="F608" s="1309"/>
      <c r="I608" s="490"/>
    </row>
    <row r="609" spans="1:9">
      <c r="D609" s="1288" t="s">
        <v>1107</v>
      </c>
      <c r="E609" s="1288"/>
      <c r="F609" s="1288"/>
      <c r="I609" s="490"/>
    </row>
    <row r="610" spans="1:9">
      <c r="D610" s="444"/>
      <c r="I610" s="490"/>
    </row>
    <row r="611" spans="1:9" ht="14.25" customHeight="1">
      <c r="A611" s="484"/>
      <c r="B611" s="485" t="s">
        <v>307</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1055</v>
      </c>
      <c r="B615" s="1307"/>
      <c r="C615" s="1307"/>
      <c r="D615" s="1307"/>
      <c r="E615" s="1307"/>
      <c r="F615" s="1307"/>
      <c r="G615" s="1307"/>
      <c r="H615" s="1023"/>
      <c r="I615" s="1147"/>
    </row>
    <row r="616" spans="1:9">
      <c r="A616" s="446"/>
      <c r="B616" s="446"/>
      <c r="I616" s="490"/>
    </row>
    <row r="617" spans="1:9">
      <c r="A617" s="482"/>
      <c r="B617" s="482"/>
      <c r="C617" s="482"/>
      <c r="D617" s="1318" t="s">
        <v>1108</v>
      </c>
      <c r="E617" s="1318"/>
      <c r="F617" s="1318"/>
      <c r="I617" s="490"/>
    </row>
    <row r="618" spans="1:9">
      <c r="A618" s="482"/>
      <c r="B618" s="482"/>
      <c r="C618" s="482"/>
      <c r="D618" s="1318"/>
      <c r="E618" s="1318"/>
      <c r="F618" s="1318"/>
      <c r="I618" s="490"/>
    </row>
    <row r="619" spans="1:9">
      <c r="C619" s="483"/>
      <c r="D619" s="1288" t="s">
        <v>1109</v>
      </c>
      <c r="E619" s="1288"/>
      <c r="F619" s="1288"/>
      <c r="I619" s="490"/>
    </row>
    <row r="620" spans="1:9">
      <c r="C620" s="483"/>
      <c r="D620" s="444"/>
      <c r="E620" s="444"/>
      <c r="F620" s="444"/>
      <c r="I620" s="490"/>
    </row>
    <row r="621" spans="1:9">
      <c r="B621" s="485" t="s">
        <v>307</v>
      </c>
      <c r="C621" s="483"/>
      <c r="D621" s="1287" t="s">
        <v>2597</v>
      </c>
      <c r="E621" s="1287"/>
      <c r="F621" s="1287"/>
      <c r="I621" s="490"/>
    </row>
    <row r="622" spans="1:9">
      <c r="C622" s="483"/>
      <c r="D622" s="444"/>
      <c r="E622" s="444"/>
      <c r="F622" s="444"/>
      <c r="I622" s="490"/>
    </row>
    <row r="623" spans="1:9" ht="12.75" customHeight="1">
      <c r="A623" s="490"/>
      <c r="B623" s="485" t="s">
        <v>307</v>
      </c>
      <c r="D623" s="1305" t="s">
        <v>1110</v>
      </c>
      <c r="E623" s="1305"/>
      <c r="F623" s="1305"/>
      <c r="I623" s="490"/>
    </row>
    <row r="624" spans="1:9">
      <c r="D624" s="1305"/>
      <c r="E624" s="1305"/>
      <c r="F624" s="1305"/>
      <c r="I624" s="490"/>
    </row>
    <row r="625" spans="1:9">
      <c r="I625" s="490"/>
    </row>
    <row r="626" spans="1:9">
      <c r="B626" s="485" t="s">
        <v>307</v>
      </c>
      <c r="D626" s="1305" t="s">
        <v>1111</v>
      </c>
      <c r="E626" s="1305"/>
      <c r="F626" s="1305"/>
      <c r="I626" s="490"/>
    </row>
    <row r="627" spans="1:9">
      <c r="C627" s="500"/>
      <c r="D627" s="1305"/>
      <c r="E627" s="1305"/>
      <c r="F627" s="1305"/>
      <c r="I627" s="490"/>
    </row>
    <row r="628" spans="1:9">
      <c r="C628" s="500"/>
      <c r="I628" s="490"/>
    </row>
    <row r="629" spans="1:9">
      <c r="B629" s="485" t="s">
        <v>307</v>
      </c>
      <c r="C629" s="500"/>
      <c r="D629" s="1305" t="s">
        <v>1112</v>
      </c>
      <c r="E629" s="1305"/>
      <c r="F629" s="1305"/>
      <c r="I629" s="490"/>
    </row>
    <row r="630" spans="1:9">
      <c r="C630" s="500"/>
      <c r="D630" s="1305"/>
      <c r="E630" s="1305"/>
      <c r="F630" s="1305"/>
      <c r="I630" s="500"/>
    </row>
    <row r="631" spans="1:9">
      <c r="C631" s="500"/>
      <c r="I631" s="490"/>
    </row>
    <row r="632" spans="1:9">
      <c r="B632" s="485" t="s">
        <v>307</v>
      </c>
      <c r="C632" s="500"/>
      <c r="D632" s="1287" t="s">
        <v>2546</v>
      </c>
      <c r="E632" s="1287"/>
      <c r="F632" s="1287"/>
      <c r="I632" s="490"/>
    </row>
    <row r="633" spans="1:9">
      <c r="C633" s="500"/>
      <c r="I633" s="490"/>
    </row>
    <row r="634" spans="1:9">
      <c r="A634" s="1307" t="s">
        <v>1056</v>
      </c>
      <c r="B634" s="1307"/>
      <c r="C634" s="1307"/>
      <c r="D634" s="1307"/>
      <c r="E634" s="1307"/>
      <c r="F634" s="1307"/>
      <c r="G634" s="1307"/>
      <c r="H634" s="1023"/>
      <c r="I634" s="1147"/>
    </row>
    <row r="635" spans="1:9">
      <c r="A635" s="482"/>
      <c r="B635" s="482"/>
      <c r="C635" s="482"/>
      <c r="I635" s="490"/>
    </row>
    <row r="636" spans="1:9">
      <c r="C636" s="490"/>
      <c r="D636" s="1309" t="s">
        <v>1113</v>
      </c>
      <c r="E636" s="1309"/>
      <c r="F636" s="1309"/>
      <c r="I636" s="490"/>
    </row>
    <row r="637" spans="1:9">
      <c r="A637" s="490"/>
      <c r="B637" s="490"/>
      <c r="D637" s="404"/>
      <c r="I637" s="490"/>
    </row>
    <row r="638" spans="1:9" ht="14.25" customHeight="1">
      <c r="A638" s="484"/>
      <c r="B638" s="485" t="s">
        <v>307</v>
      </c>
      <c r="D638" s="1323" t="s">
        <v>2022</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4">
      <c r="A645" s="484"/>
      <c r="B645" s="485" t="s">
        <v>307</v>
      </c>
      <c r="D645" s="1306" t="s">
        <v>1114</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4">
      <c r="A648" s="484"/>
      <c r="B648" s="485" t="s">
        <v>307</v>
      </c>
      <c r="C648" s="487"/>
      <c r="D648" s="1306" t="s">
        <v>1224</v>
      </c>
      <c r="E648" s="1306"/>
      <c r="F648" s="1306"/>
      <c r="I648" s="490"/>
    </row>
    <row r="649" spans="1:9" ht="14.4">
      <c r="A649" s="484"/>
      <c r="B649" s="484"/>
      <c r="C649" s="487"/>
      <c r="D649" s="1306"/>
      <c r="E649" s="1306"/>
      <c r="F649" s="1306"/>
      <c r="I649" s="490"/>
    </row>
    <row r="650" spans="1:9" ht="14.4">
      <c r="A650" s="484"/>
      <c r="B650" s="484"/>
      <c r="C650" s="487"/>
      <c r="D650" s="1306"/>
      <c r="E650" s="1306"/>
      <c r="F650" s="1306"/>
      <c r="I650" s="490"/>
    </row>
    <row r="651" spans="1:9">
      <c r="A651" s="487"/>
      <c r="B651" s="485" t="s">
        <v>307</v>
      </c>
      <c r="C651" s="487"/>
      <c r="D651" s="1308" t="s">
        <v>1115</v>
      </c>
      <c r="E651" s="1308"/>
      <c r="F651" s="1308"/>
      <c r="I651" s="490"/>
    </row>
    <row r="652" spans="1:9">
      <c r="A652" s="487"/>
      <c r="B652" s="487"/>
      <c r="C652" s="487"/>
      <c r="D652" s="446"/>
      <c r="E652" s="446"/>
      <c r="F652" s="446"/>
      <c r="I652" s="490"/>
    </row>
    <row r="653" spans="1:9">
      <c r="A653" s="1307" t="s">
        <v>1057</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1145</v>
      </c>
      <c r="E655" s="1309"/>
      <c r="F655" s="1309"/>
      <c r="I655" s="490"/>
    </row>
    <row r="656" spans="1:9">
      <c r="A656" s="483"/>
      <c r="B656" s="483"/>
      <c r="C656" s="483"/>
      <c r="D656" s="1308" t="s">
        <v>1146</v>
      </c>
      <c r="E656" s="1308"/>
      <c r="F656" s="1308"/>
      <c r="I656" s="490"/>
    </row>
    <row r="657" spans="1:9">
      <c r="A657" s="483"/>
      <c r="B657" s="483"/>
      <c r="C657" s="483"/>
      <c r="D657" s="446"/>
      <c r="E657" s="446"/>
      <c r="F657" s="446"/>
      <c r="I657" s="490"/>
    </row>
    <row r="658" spans="1:9" ht="12.75" customHeight="1">
      <c r="B658" s="485" t="s">
        <v>307</v>
      </c>
      <c r="C658" s="487"/>
      <c r="D658" s="1306" t="s">
        <v>1280</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 customHeight="1">
      <c r="A662" s="484"/>
      <c r="B662" s="484"/>
      <c r="C662" s="487"/>
      <c r="D662" s="385"/>
      <c r="E662" s="385"/>
      <c r="F662" s="385"/>
      <c r="I662" s="490"/>
    </row>
    <row r="663" spans="1:9" ht="12.75" customHeight="1">
      <c r="A663" s="483"/>
      <c r="B663" s="485" t="s">
        <v>307</v>
      </c>
      <c r="C663" s="487"/>
      <c r="D663" s="1306" t="s">
        <v>1282</v>
      </c>
      <c r="E663" s="1306"/>
      <c r="F663" s="1306"/>
      <c r="I663" s="490"/>
    </row>
    <row r="664" spans="1:9" ht="14.4">
      <c r="A664" s="483"/>
      <c r="B664" s="484"/>
      <c r="C664" s="487"/>
      <c r="D664" s="1306"/>
      <c r="E664" s="1306"/>
      <c r="F664" s="1306"/>
      <c r="I664" s="490"/>
    </row>
    <row r="665" spans="1:9" ht="14.4">
      <c r="A665" s="483"/>
      <c r="B665" s="484"/>
      <c r="C665" s="487"/>
      <c r="D665" s="1306"/>
      <c r="E665" s="1306"/>
      <c r="F665" s="1306"/>
      <c r="I665" s="490"/>
    </row>
    <row r="666" spans="1:9" ht="14.4">
      <c r="A666" s="483"/>
      <c r="B666" s="484"/>
      <c r="C666" s="487"/>
      <c r="D666" s="1306"/>
      <c r="E666" s="1306"/>
      <c r="F666" s="1306"/>
      <c r="I666" s="490"/>
    </row>
    <row r="667" spans="1:9" ht="14.4">
      <c r="A667" s="483"/>
      <c r="B667" s="484"/>
      <c r="C667" s="487"/>
      <c r="D667" s="1306"/>
      <c r="E667" s="1306"/>
      <c r="F667" s="1306"/>
      <c r="I667" s="490"/>
    </row>
    <row r="668" spans="1:9" ht="14.25" customHeight="1">
      <c r="A668" s="483"/>
      <c r="B668" s="484"/>
      <c r="C668" s="487"/>
      <c r="F668" s="386"/>
      <c r="I668" s="490"/>
    </row>
    <row r="669" spans="1:9" ht="12.75" customHeight="1">
      <c r="A669" s="483"/>
      <c r="B669" s="485" t="s">
        <v>307</v>
      </c>
      <c r="C669" s="487"/>
      <c r="D669" s="1306" t="s">
        <v>1281</v>
      </c>
      <c r="E669" s="1306"/>
      <c r="F669" s="1306"/>
      <c r="I669" s="490"/>
    </row>
    <row r="670" spans="1:9" ht="14.4">
      <c r="A670" s="483"/>
      <c r="B670" s="484"/>
      <c r="C670" s="487"/>
      <c r="D670" s="1306"/>
      <c r="E670" s="1306"/>
      <c r="F670" s="1306"/>
      <c r="I670" s="490"/>
    </row>
    <row r="671" spans="1:9" ht="14.4">
      <c r="A671" s="484"/>
      <c r="B671" s="484"/>
      <c r="C671" s="487"/>
      <c r="D671" s="1306"/>
      <c r="E671" s="1306"/>
      <c r="F671" s="1306"/>
      <c r="I671" s="490"/>
    </row>
    <row r="672" spans="1:9" ht="14.4">
      <c r="A672" s="484"/>
      <c r="B672" s="484"/>
      <c r="C672" s="487"/>
      <c r="D672" s="1306"/>
      <c r="E672" s="1306"/>
      <c r="F672" s="1306"/>
      <c r="I672" s="490"/>
    </row>
    <row r="673" spans="1:11" ht="14.4">
      <c r="A673" s="484"/>
      <c r="B673" s="484"/>
      <c r="C673" s="487"/>
      <c r="D673" s="445"/>
      <c r="E673" s="445"/>
      <c r="F673" s="445"/>
      <c r="I673" s="490"/>
    </row>
    <row r="674" spans="1:11" ht="12.75" customHeight="1">
      <c r="A674" s="483"/>
      <c r="B674" s="485" t="s">
        <v>307</v>
      </c>
      <c r="C674" s="487"/>
      <c r="D674" s="1306" t="s">
        <v>2023</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1058</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1075</v>
      </c>
      <c r="E688" s="1308"/>
      <c r="F688" s="1308"/>
      <c r="H688" s="501"/>
      <c r="I688" s="483"/>
      <c r="J688" s="501"/>
      <c r="K688" s="501"/>
    </row>
    <row r="689" spans="1:11">
      <c r="A689" s="483"/>
      <c r="B689" s="483"/>
      <c r="C689" s="483"/>
      <c r="H689" s="501"/>
      <c r="I689" s="483"/>
      <c r="J689" s="501"/>
      <c r="K689" s="501"/>
    </row>
    <row r="690" spans="1:11" ht="14.4">
      <c r="A690" s="484"/>
      <c r="B690" s="485" t="s">
        <v>307</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4">
      <c r="A695" s="484"/>
      <c r="B695" s="485" t="s">
        <v>307</v>
      </c>
      <c r="C695" s="483"/>
      <c r="D695" s="1306" t="s">
        <v>2024</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4">
      <c r="A699" s="484"/>
      <c r="B699" s="485" t="s">
        <v>307</v>
      </c>
      <c r="C699" s="483"/>
      <c r="D699" s="1308" t="s">
        <v>917</v>
      </c>
      <c r="E699" s="1308"/>
      <c r="F699" s="1308"/>
      <c r="H699" s="501"/>
      <c r="I699" s="483"/>
      <c r="J699" s="501"/>
      <c r="K699" s="501"/>
    </row>
    <row r="700" spans="1:11" ht="14.4">
      <c r="A700" s="484"/>
      <c r="B700" s="484"/>
      <c r="C700" s="483"/>
      <c r="D700" s="1308" t="s">
        <v>894</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4">
      <c r="A703" s="484"/>
      <c r="B703" s="485" t="s">
        <v>307</v>
      </c>
      <c r="C703" s="483"/>
      <c r="D703" s="1308" t="s">
        <v>2397</v>
      </c>
      <c r="E703" s="1308"/>
      <c r="F703" s="1308"/>
      <c r="H703" s="501"/>
      <c r="I703" s="483"/>
      <c r="J703" s="501"/>
      <c r="K703" s="501"/>
    </row>
    <row r="704" spans="1:11" ht="14.4">
      <c r="A704" s="484"/>
      <c r="B704" s="484"/>
      <c r="C704" s="483"/>
      <c r="D704" s="1308" t="s">
        <v>894</v>
      </c>
      <c r="E704" s="1308"/>
      <c r="F704" s="1308"/>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4">
      <c r="A707" s="484"/>
      <c r="B707" s="485" t="s">
        <v>307</v>
      </c>
      <c r="C707" s="483"/>
      <c r="D707" s="1306" t="s">
        <v>2195</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6" t="s">
        <v>1200</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4">
      <c r="A717" s="484"/>
      <c r="B717" s="485" t="s">
        <v>307</v>
      </c>
      <c r="C717" s="483"/>
      <c r="D717" s="1306" t="s">
        <v>1076</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307</v>
      </c>
      <c r="C730" s="483"/>
      <c r="D730" s="1306" t="s">
        <v>2390</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6" t="s">
        <v>2389</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307</v>
      </c>
      <c r="C738" s="483"/>
      <c r="D738" s="1306" t="s">
        <v>2388</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4">
      <c r="A743" s="484"/>
      <c r="B743" s="485" t="s">
        <v>307</v>
      </c>
      <c r="C743" s="483"/>
      <c r="D743" s="1306" t="s">
        <v>1077</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4">
      <c r="A749" s="484"/>
      <c r="B749" s="485" t="s">
        <v>307</v>
      </c>
      <c r="C749" s="483"/>
      <c r="D749" s="1306" t="s">
        <v>2098</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2607</v>
      </c>
      <c r="E756" s="1311"/>
      <c r="F756" s="1311"/>
      <c r="H756" s="501"/>
      <c r="I756" s="483"/>
      <c r="J756" s="501"/>
      <c r="K756" s="501"/>
    </row>
    <row r="757" spans="1:11">
      <c r="A757" s="483"/>
      <c r="B757" s="483"/>
      <c r="C757" s="483"/>
      <c r="D757" s="341"/>
      <c r="H757" s="501"/>
      <c r="I757" s="483"/>
      <c r="J757" s="501"/>
      <c r="K757" s="501"/>
    </row>
    <row r="758" spans="1:11">
      <c r="A758" s="1310" t="s">
        <v>1059</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65" customHeight="1">
      <c r="C760" s="483"/>
      <c r="D760" s="1326" t="s">
        <v>1069</v>
      </c>
      <c r="E760" s="1326"/>
      <c r="F760" s="1326"/>
      <c r="G760" s="501"/>
      <c r="H760" s="501"/>
      <c r="I760" s="483"/>
      <c r="J760" s="501"/>
      <c r="K760" s="501"/>
    </row>
    <row r="761" spans="1:11">
      <c r="A761" s="483"/>
      <c r="B761" s="483"/>
      <c r="C761" s="483"/>
      <c r="D761" s="1312" t="s">
        <v>1070</v>
      </c>
      <c r="E761" s="1312"/>
      <c r="F761" s="1312"/>
      <c r="G761" s="501"/>
      <c r="H761" s="501"/>
      <c r="I761" s="483"/>
      <c r="J761" s="501"/>
      <c r="K761" s="501"/>
    </row>
    <row r="762" spans="1:11">
      <c r="A762" s="483"/>
      <c r="B762" s="483"/>
      <c r="C762" s="483"/>
      <c r="G762" s="501"/>
      <c r="H762" s="501"/>
      <c r="I762" s="483"/>
      <c r="J762" s="501"/>
      <c r="K762" s="501"/>
    </row>
    <row r="763" spans="1:11" ht="14.4">
      <c r="A763" s="484"/>
      <c r="B763" s="485" t="s">
        <v>307</v>
      </c>
      <c r="D763" s="1306" t="s">
        <v>1071</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4">
      <c r="A770" s="503"/>
      <c r="B770" s="485" t="s">
        <v>307</v>
      </c>
      <c r="C770" s="504"/>
      <c r="D770" s="1306" t="s">
        <v>1240</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4">
      <c r="A775" s="484"/>
      <c r="B775" s="485" t="s">
        <v>307</v>
      </c>
      <c r="C775" s="504"/>
      <c r="D775" s="1305" t="s">
        <v>1241</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4">
      <c r="A779" s="484"/>
      <c r="B779" s="485" t="s">
        <v>307</v>
      </c>
      <c r="D779" s="1306" t="s">
        <v>1197</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307</v>
      </c>
      <c r="D782" s="1306" t="s">
        <v>1214</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1788</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1828</v>
      </c>
      <c r="E788" s="1324"/>
      <c r="F788" s="1324"/>
      <c r="G788" s="3"/>
      <c r="I788" s="490"/>
    </row>
    <row r="789" spans="1:11" hidden="1">
      <c r="A789" s="57"/>
      <c r="B789" s="57"/>
      <c r="C789" s="354"/>
      <c r="D789" s="1316" t="s">
        <v>1742</v>
      </c>
      <c r="E789" s="1316"/>
      <c r="F789" s="1316"/>
      <c r="G789" s="3"/>
      <c r="I789" s="490"/>
    </row>
    <row r="790" spans="1:11" hidden="1">
      <c r="A790" s="57"/>
      <c r="B790" s="57"/>
      <c r="C790" s="354"/>
      <c r="D790" s="447"/>
      <c r="E790" s="447"/>
      <c r="F790" s="447"/>
      <c r="G790" s="3"/>
      <c r="I790" s="490"/>
    </row>
    <row r="791" spans="1:11" hidden="1">
      <c r="A791" s="57"/>
      <c r="B791" s="485" t="s">
        <v>307</v>
      </c>
      <c r="C791" s="354"/>
      <c r="D791" s="1298" t="s">
        <v>1743</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307</v>
      </c>
      <c r="C795" s="172"/>
      <c r="D795" s="1298" t="s">
        <v>1744</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4" hidden="1">
      <c r="A799" s="175"/>
      <c r="B799" s="485" t="s">
        <v>307</v>
      </c>
      <c r="C799" s="984"/>
      <c r="D799" s="1298" t="s">
        <v>1745</v>
      </c>
      <c r="E799" s="1298"/>
      <c r="F799" s="1298"/>
      <c r="G799" s="983"/>
      <c r="I799" s="483"/>
    </row>
    <row r="800" spans="1:11" ht="14.4" hidden="1">
      <c r="A800" s="175"/>
      <c r="B800" s="175"/>
      <c r="C800" s="984"/>
      <c r="D800" s="1298"/>
      <c r="E800" s="1298"/>
      <c r="F800" s="1298"/>
      <c r="G800" s="983"/>
      <c r="I800" s="490"/>
    </row>
    <row r="801" spans="1:9" ht="14.4" hidden="1">
      <c r="A801" s="175"/>
      <c r="B801" s="175"/>
      <c r="C801" s="984"/>
      <c r="D801" s="1298"/>
      <c r="E801" s="1298"/>
      <c r="F801" s="1298"/>
      <c r="G801" s="983"/>
      <c r="I801" s="490"/>
    </row>
    <row r="802" spans="1:9" ht="14.4" hidden="1">
      <c r="A802" s="175"/>
      <c r="B802" s="175"/>
      <c r="C802" s="984"/>
      <c r="D802" s="118"/>
      <c r="E802" s="3"/>
      <c r="F802" s="3"/>
      <c r="G802" s="983"/>
      <c r="I802" s="490"/>
    </row>
    <row r="803" spans="1:9" ht="14.4" hidden="1">
      <c r="A803" s="175"/>
      <c r="B803" s="485" t="s">
        <v>307</v>
      </c>
      <c r="C803" s="984"/>
      <c r="D803" s="1298" t="s">
        <v>1746</v>
      </c>
      <c r="E803" s="1298"/>
      <c r="F803" s="1298"/>
      <c r="G803" s="983"/>
      <c r="I803" s="483"/>
    </row>
    <row r="804" spans="1:9" ht="14.4" hidden="1">
      <c r="A804" s="175"/>
      <c r="B804" s="175"/>
      <c r="C804" s="984"/>
      <c r="D804" s="1298"/>
      <c r="E804" s="1298"/>
      <c r="F804" s="1298"/>
      <c r="G804" s="983"/>
      <c r="I804" s="490"/>
    </row>
    <row r="805" spans="1:9" ht="14.4" hidden="1">
      <c r="A805" s="175"/>
      <c r="B805" s="175"/>
      <c r="C805" s="984"/>
      <c r="D805" s="1298"/>
      <c r="E805" s="1298"/>
      <c r="F805" s="1298"/>
      <c r="G805" s="983"/>
      <c r="I805" s="490"/>
    </row>
    <row r="806" spans="1:9" ht="14.4" hidden="1">
      <c r="A806" s="175"/>
      <c r="B806" s="175"/>
      <c r="C806" s="984"/>
      <c r="D806" s="1298"/>
      <c r="E806" s="1298"/>
      <c r="F806" s="1298"/>
      <c r="G806" s="983"/>
      <c r="I806" s="490"/>
    </row>
    <row r="807" spans="1:9" ht="14.4" hidden="1">
      <c r="A807" s="175"/>
      <c r="B807" s="175"/>
      <c r="C807" s="984"/>
      <c r="D807" s="1298"/>
      <c r="E807" s="1298"/>
      <c r="F807" s="1298"/>
      <c r="G807" s="983"/>
      <c r="I807" s="490"/>
    </row>
    <row r="808" spans="1:9" ht="14.4" hidden="1">
      <c r="A808" s="175"/>
      <c r="B808" s="175"/>
      <c r="C808" s="984"/>
      <c r="D808" s="1298"/>
      <c r="E808" s="1298"/>
      <c r="F808" s="1298"/>
      <c r="G808" s="983"/>
      <c r="I808" s="490"/>
    </row>
    <row r="809" spans="1:9" ht="14.4" hidden="1">
      <c r="A809" s="175"/>
      <c r="B809" s="175"/>
      <c r="C809" s="984"/>
      <c r="D809" s="1298" t="s">
        <v>1789</v>
      </c>
      <c r="E809" s="1298"/>
      <c r="F809" s="1298"/>
      <c r="G809" s="983"/>
      <c r="I809" s="490"/>
    </row>
    <row r="810" spans="1:9" ht="14.4" hidden="1">
      <c r="A810" s="175"/>
      <c r="B810" s="175"/>
      <c r="C810" s="984"/>
      <c r="D810" s="1298"/>
      <c r="E810" s="1298"/>
      <c r="F810" s="1298"/>
      <c r="G810" s="983"/>
      <c r="I810" s="490"/>
    </row>
    <row r="811" spans="1:9" ht="14.4" hidden="1">
      <c r="A811" s="175"/>
      <c r="B811" s="175"/>
      <c r="C811" s="984"/>
      <c r="D811" s="1298"/>
      <c r="E811" s="1298"/>
      <c r="F811" s="1298"/>
      <c r="G811" s="983"/>
      <c r="I811" s="490"/>
    </row>
    <row r="812" spans="1:9" ht="14.4" hidden="1">
      <c r="A812" s="175"/>
      <c r="B812" s="354"/>
      <c r="C812" s="984"/>
      <c r="D812" s="985"/>
      <c r="E812" s="985"/>
      <c r="F812" s="985"/>
      <c r="G812" s="983"/>
      <c r="I812" s="490"/>
    </row>
    <row r="813" spans="1:9" ht="14.4" hidden="1">
      <c r="A813" s="175"/>
      <c r="B813" s="485" t="s">
        <v>307</v>
      </c>
      <c r="C813" s="984"/>
      <c r="D813" s="1298" t="s">
        <v>1747</v>
      </c>
      <c r="E813" s="1298"/>
      <c r="F813" s="1298"/>
      <c r="G813" s="983"/>
      <c r="I813" s="483"/>
    </row>
    <row r="814" spans="1:9" ht="14.4" hidden="1">
      <c r="A814" s="175"/>
      <c r="B814" s="175"/>
      <c r="C814" s="984"/>
      <c r="D814" s="1298"/>
      <c r="E814" s="1298"/>
      <c r="F814" s="1298"/>
      <c r="G814" s="983"/>
      <c r="I814" s="490"/>
    </row>
    <row r="815" spans="1:9" ht="14.4" hidden="1">
      <c r="A815" s="175"/>
      <c r="B815" s="175"/>
      <c r="C815" s="984"/>
      <c r="D815" s="1298"/>
      <c r="E815" s="1298"/>
      <c r="F815" s="1298"/>
      <c r="G815" s="983"/>
      <c r="I815" s="490"/>
    </row>
    <row r="816" spans="1:9" ht="14.4" hidden="1">
      <c r="A816" s="175"/>
      <c r="B816" s="175"/>
      <c r="C816" s="984"/>
      <c r="D816" s="1298"/>
      <c r="E816" s="1298"/>
      <c r="F816" s="1298"/>
      <c r="G816" s="983"/>
      <c r="I816" s="490"/>
    </row>
    <row r="817" spans="1:9" ht="14.4" hidden="1">
      <c r="A817" s="175"/>
      <c r="B817" s="175"/>
      <c r="C817" s="984"/>
      <c r="D817" s="1298"/>
      <c r="E817" s="1298"/>
      <c r="F817" s="1298"/>
      <c r="G817" s="983"/>
      <c r="I817" s="490"/>
    </row>
    <row r="818" spans="1:9" ht="14.4" hidden="1">
      <c r="A818" s="175"/>
      <c r="B818" s="175"/>
      <c r="C818" s="984"/>
      <c r="D818" s="1298"/>
      <c r="E818" s="1298"/>
      <c r="F818" s="1298"/>
      <c r="G818" s="983"/>
      <c r="I818" s="490"/>
    </row>
    <row r="819" spans="1:9" ht="14.4" hidden="1">
      <c r="A819" s="175"/>
      <c r="B819" s="175"/>
      <c r="C819" s="984"/>
      <c r="D819" s="977"/>
      <c r="E819" s="977"/>
      <c r="F819" s="977"/>
      <c r="G819" s="983"/>
      <c r="I819" s="490"/>
    </row>
    <row r="820" spans="1:9" ht="14.4" hidden="1">
      <c r="A820" s="175"/>
      <c r="B820" s="485" t="s">
        <v>307</v>
      </c>
      <c r="C820" s="984"/>
      <c r="D820" s="1298" t="s">
        <v>1748</v>
      </c>
      <c r="E820" s="1298"/>
      <c r="F820" s="1298"/>
      <c r="G820" s="983"/>
      <c r="I820" s="483"/>
    </row>
    <row r="821" spans="1:9" ht="14.4" hidden="1">
      <c r="A821" s="175"/>
      <c r="B821" s="175"/>
      <c r="C821" s="984"/>
      <c r="D821" s="1298"/>
      <c r="E821" s="1298"/>
      <c r="F821" s="1298"/>
      <c r="G821" s="983"/>
      <c r="I821" s="490"/>
    </row>
    <row r="822" spans="1:9" ht="14.4" hidden="1">
      <c r="A822" s="175"/>
      <c r="B822" s="175"/>
      <c r="C822" s="984"/>
      <c r="D822" s="1298"/>
      <c r="E822" s="1298"/>
      <c r="F822" s="1298"/>
      <c r="G822" s="983"/>
      <c r="I822" s="490"/>
    </row>
    <row r="823" spans="1:9" ht="14.4" hidden="1">
      <c r="A823" s="175"/>
      <c r="B823" s="175"/>
      <c r="C823" s="984"/>
      <c r="D823" s="1298"/>
      <c r="E823" s="1298"/>
      <c r="F823" s="1298"/>
      <c r="G823" s="983"/>
      <c r="I823" s="490"/>
    </row>
    <row r="824" spans="1:9" ht="14.4" hidden="1">
      <c r="A824" s="175"/>
      <c r="B824" s="175"/>
      <c r="C824" s="984"/>
      <c r="D824" s="1298"/>
      <c r="E824" s="1298"/>
      <c r="F824" s="1298"/>
      <c r="G824" s="983"/>
      <c r="I824" s="490"/>
    </row>
    <row r="825" spans="1:9" ht="14.4" hidden="1">
      <c r="A825" s="175"/>
      <c r="B825" s="175"/>
      <c r="C825" s="984"/>
      <c r="D825" s="1298"/>
      <c r="E825" s="1298"/>
      <c r="F825" s="1298"/>
      <c r="G825" s="983"/>
      <c r="I825" s="490"/>
    </row>
    <row r="826" spans="1:9" ht="14.4" hidden="1">
      <c r="A826" s="175"/>
      <c r="B826" s="175"/>
      <c r="C826" s="984"/>
      <c r="D826" s="977"/>
      <c r="E826" s="977"/>
      <c r="F826" s="977"/>
      <c r="G826" s="983"/>
      <c r="I826" s="490"/>
    </row>
    <row r="827" spans="1:9" ht="14.4" hidden="1">
      <c r="A827" s="175"/>
      <c r="B827" s="485" t="s">
        <v>307</v>
      </c>
      <c r="C827" s="984"/>
      <c r="D827" s="1294" t="s">
        <v>1749</v>
      </c>
      <c r="E827" s="1294"/>
      <c r="F827" s="1294"/>
      <c r="G827" s="983"/>
      <c r="I827" s="483"/>
    </row>
    <row r="828" spans="1:9" ht="14.4" hidden="1">
      <c r="A828" s="175"/>
      <c r="B828" s="175"/>
      <c r="C828" s="984"/>
      <c r="D828" s="1294"/>
      <c r="E828" s="1294"/>
      <c r="F828" s="1294"/>
      <c r="G828" s="983"/>
      <c r="I828" s="490"/>
    </row>
    <row r="829" spans="1:9" hidden="1">
      <c r="A829" s="13"/>
      <c r="B829" s="13"/>
      <c r="C829" s="984"/>
      <c r="D829" s="1294"/>
      <c r="E829" s="1294"/>
      <c r="F829" s="1294"/>
      <c r="G829" s="983"/>
      <c r="I829" s="490"/>
    </row>
    <row r="830" spans="1:9" ht="14.4"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307</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2030</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307</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307</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2025</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307</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307</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307</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2025</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307</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307</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307</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307</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307</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307</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307</v>
      </c>
      <c r="C935" s="984"/>
      <c r="D935" s="1296" t="s">
        <v>2026</v>
      </c>
      <c r="E935" s="1296"/>
      <c r="F935" s="1296"/>
      <c r="G935" s="983"/>
      <c r="I935" s="490"/>
    </row>
    <row r="936" spans="1:9" ht="12.75" customHeight="1">
      <c r="A936" s="984"/>
      <c r="B936" s="984"/>
      <c r="C936" s="984"/>
      <c r="D936" s="118"/>
      <c r="E936" s="983"/>
      <c r="F936" s="983"/>
      <c r="G936" s="983"/>
      <c r="I936" s="490"/>
    </row>
    <row r="937" spans="1:9" ht="12.75" customHeight="1">
      <c r="A937" s="984"/>
      <c r="B937" s="485" t="s">
        <v>307</v>
      </c>
      <c r="C937" s="984"/>
      <c r="D937" s="1296" t="s">
        <v>2027</v>
      </c>
      <c r="E937" s="1296"/>
      <c r="F937" s="1296"/>
      <c r="G937" s="983"/>
      <c r="I937" s="490"/>
    </row>
    <row r="938" spans="1:9" ht="12.75" customHeight="1">
      <c r="A938" s="174"/>
      <c r="B938" s="174"/>
      <c r="C938" s="174"/>
      <c r="D938" s="2"/>
      <c r="E938" s="3"/>
      <c r="F938" s="983"/>
      <c r="G938" s="983"/>
      <c r="I938" s="490"/>
    </row>
    <row r="939" spans="1:9" ht="12.75" customHeight="1">
      <c r="A939" s="992"/>
      <c r="B939" s="485" t="s">
        <v>307</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307</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8" t="s">
        <v>2091</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307</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307</v>
      </c>
      <c r="C978" s="354"/>
      <c r="D978" s="1268" t="s">
        <v>2028</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307</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8" t="s">
        <v>2182</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307</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307</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307</v>
      </c>
      <c r="C1040" s="354"/>
      <c r="D1040" s="1291" t="s">
        <v>1270</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1271</v>
      </c>
      <c r="E1045" s="1289"/>
      <c r="F1045" s="1289"/>
      <c r="G1045" s="3"/>
      <c r="I1045" s="490"/>
    </row>
    <row r="1046" spans="1:9" ht="12.75" hidden="1" customHeight="1">
      <c r="A1046" s="118"/>
      <c r="B1046" s="485" t="s">
        <v>307</v>
      </c>
      <c r="D1046" s="1288" t="s">
        <v>1270</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1065</v>
      </c>
      <c r="E1049" s="1293"/>
      <c r="F1049" s="1293"/>
      <c r="G1049" s="3"/>
      <c r="I1049" s="490"/>
    </row>
    <row r="1050" spans="1:9" ht="12.75" customHeight="1">
      <c r="A1050" s="319"/>
      <c r="B1050" s="319"/>
      <c r="C1050" s="319"/>
      <c r="D1050" s="1287" t="s">
        <v>2199</v>
      </c>
      <c r="E1050" s="1287"/>
      <c r="F1050" s="1287"/>
      <c r="G1050" s="98"/>
      <c r="I1050" s="490"/>
    </row>
    <row r="1051" spans="1:9" ht="12.75" customHeight="1">
      <c r="A1051" s="175"/>
      <c r="B1051" s="485" t="s">
        <v>307</v>
      </c>
      <c r="C1051" s="354"/>
      <c r="D1051" s="1287" t="s">
        <v>984</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2610</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307</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307</v>
      </c>
      <c r="C1067" s="402"/>
      <c r="D1067" s="402" t="s">
        <v>1799</v>
      </c>
      <c r="I1067" s="490"/>
    </row>
    <row r="1068" spans="1:9">
      <c r="A1068" s="402"/>
      <c r="B1068" s="402"/>
      <c r="C1068" s="402"/>
      <c r="I1068" s="490"/>
    </row>
    <row r="1069" spans="1:9">
      <c r="A1069" s="402"/>
      <c r="B1069" s="485" t="s">
        <v>307</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307</v>
      </c>
      <c r="C1081" s="402"/>
      <c r="D1081" s="1303" t="s">
        <v>2616</v>
      </c>
      <c r="E1081" s="1303"/>
      <c r="F1081" s="1303"/>
      <c r="I1081" s="490"/>
    </row>
    <row r="1082" spans="1:9">
      <c r="A1082" s="402"/>
      <c r="B1082" s="402"/>
      <c r="C1082" s="402"/>
      <c r="D1082" s="1303"/>
      <c r="E1082" s="1303"/>
      <c r="F1082" s="1303"/>
      <c r="I1082" s="490"/>
    </row>
    <row r="1083" spans="1:9">
      <c r="A1083" s="402"/>
      <c r="B1083" s="402"/>
      <c r="C1083" s="402"/>
      <c r="D1083" s="527" t="s">
        <v>2615</v>
      </c>
      <c r="I1083" s="490"/>
    </row>
    <row r="1084" spans="1:9">
      <c r="A1084" s="402"/>
      <c r="B1084" s="402"/>
      <c r="C1084" s="402"/>
      <c r="D1084" s="527"/>
      <c r="I1084" s="490"/>
    </row>
    <row r="1085" spans="1:9">
      <c r="A1085" s="402"/>
      <c r="B1085" s="485" t="s">
        <v>307</v>
      </c>
      <c r="C1085" s="402"/>
      <c r="D1085" s="119" t="s">
        <v>2624</v>
      </c>
      <c r="I1085" s="490"/>
    </row>
    <row r="1086" spans="1:9">
      <c r="A1086" s="402"/>
      <c r="B1086" s="402"/>
      <c r="C1086" s="402"/>
      <c r="D1086" s="1268" t="s">
        <v>2626</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307</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2627</v>
      </c>
      <c r="I1098" s="490"/>
    </row>
    <row r="1099" spans="1:9">
      <c r="A1099" s="402"/>
      <c r="B1099" s="402"/>
      <c r="C1099" s="402"/>
      <c r="I1099" s="490"/>
    </row>
    <row r="1100" spans="1:9">
      <c r="A1100" s="402"/>
      <c r="B1100" s="485" t="s">
        <v>307</v>
      </c>
      <c r="C1100" s="402"/>
      <c r="D1100" s="1282" t="s">
        <v>2220</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2631</v>
      </c>
      <c r="E1109" s="1268"/>
      <c r="F1109" s="1268"/>
      <c r="I1109" s="490"/>
    </row>
    <row r="1110" spans="1:9">
      <c r="A1110" s="402"/>
      <c r="B1110" s="402"/>
      <c r="C1110" s="402"/>
      <c r="D1110" s="527"/>
      <c r="I1110" s="490"/>
    </row>
    <row r="1111" spans="1:9">
      <c r="A1111" s="402"/>
      <c r="B1111" s="485" t="s">
        <v>307</v>
      </c>
      <c r="C1111" s="402"/>
      <c r="D1111" s="1299" t="s">
        <v>2579</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307</v>
      </c>
      <c r="C1115" s="402"/>
      <c r="D1115" s="1299" t="s">
        <v>2598</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307</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307</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307</v>
      </c>
      <c r="C1134" s="402"/>
      <c r="D1134" s="1273" t="s">
        <v>2608</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300" t="s">
        <v>2580</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zoomScaleNormal="100" workbookViewId="0"/>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2425</v>
      </c>
      <c r="BE1" s="3"/>
      <c r="BF1" s="3"/>
    </row>
    <row r="2" spans="1:58" ht="12.9" customHeight="1">
      <c r="BD2" s="3" t="s">
        <v>2426</v>
      </c>
      <c r="BE2" s="3" t="s">
        <v>2427</v>
      </c>
      <c r="BF2" s="3" t="s">
        <v>2428</v>
      </c>
    </row>
    <row r="3" spans="1:58" ht="12.9" customHeight="1">
      <c r="BD3" s="3" t="s">
        <v>2520</v>
      </c>
      <c r="BE3" t="str">
        <f>AC220</f>
        <v>Balance of Los Angeles County</v>
      </c>
    </row>
    <row r="4" spans="1:58" ht="12.9" customHeight="1">
      <c r="BD4" s="3" t="s">
        <v>2435</v>
      </c>
      <c r="BE4" s="1180"/>
    </row>
    <row r="5" spans="1:58" ht="12.9" customHeight="1">
      <c r="BD5" s="3" t="s">
        <v>2436</v>
      </c>
      <c r="BE5">
        <f>SUMIF($AC$726:$AC$760,"&lt;=20%",$G$726:G$760)</f>
        <v>0</v>
      </c>
      <c r="BF5" s="3" t="s">
        <v>2441</v>
      </c>
    </row>
    <row r="6" spans="1:58" ht="12.9" customHeight="1">
      <c r="BD6" s="3" t="s">
        <v>2437</v>
      </c>
      <c r="BE6" s="1183">
        <f>SUMIF($AC$726:$AC$760,"&lt;=25%",$G$726:G$760)-SUM($BE$5:BE5)</f>
        <v>0</v>
      </c>
    </row>
    <row r="7" spans="1:58" ht="12.9" customHeight="1">
      <c r="BD7" s="1181" t="s">
        <v>2429</v>
      </c>
      <c r="BE7" s="1183">
        <f>SUMIF($AC$726:$AC$760,"&lt;=30%",$G$726:G$760)-SUM($BE$5:BE6)</f>
        <v>47</v>
      </c>
    </row>
    <row r="8" spans="1:58" ht="26.25" customHeight="1">
      <c r="A8" s="1499" t="s">
        <v>100</v>
      </c>
      <c r="B8" s="1499"/>
      <c r="C8" s="1499"/>
      <c r="D8" s="1499"/>
      <c r="E8" s="1499"/>
      <c r="F8" s="1499"/>
      <c r="G8" s="1499"/>
      <c r="H8" s="1499"/>
      <c r="I8" s="1499"/>
      <c r="J8" s="1499"/>
      <c r="K8" s="1499"/>
      <c r="L8" s="1499"/>
      <c r="M8" s="1499"/>
      <c r="N8" s="1499"/>
      <c r="O8" s="1499"/>
      <c r="P8" s="1499"/>
      <c r="Q8" s="1499"/>
      <c r="R8" s="1499"/>
      <c r="S8" s="1499"/>
      <c r="T8" s="1499"/>
      <c r="U8" s="1499"/>
      <c r="V8" s="1499"/>
      <c r="W8" s="1499"/>
      <c r="X8" s="1499"/>
      <c r="Y8" s="1499"/>
      <c r="Z8" s="1499"/>
      <c r="AA8" s="1499"/>
      <c r="AB8" s="1499"/>
      <c r="AC8" s="1499"/>
      <c r="AD8" s="1499"/>
      <c r="AE8" s="1499"/>
      <c r="AF8" s="1499"/>
      <c r="AG8" s="1499"/>
      <c r="AH8" s="1499"/>
      <c r="AI8" s="1499"/>
      <c r="AJ8" s="1499"/>
      <c r="AK8" s="1499"/>
      <c r="AL8" s="1499"/>
      <c r="AM8" s="1499"/>
      <c r="AN8" s="1499"/>
      <c r="AO8" s="1499"/>
      <c r="AP8" s="1499"/>
      <c r="AQ8" s="1499"/>
      <c r="AR8" s="1499"/>
      <c r="AS8" s="1499"/>
      <c r="AT8" s="1499"/>
      <c r="AU8" s="894"/>
      <c r="AV8" s="894"/>
      <c r="AW8" s="894"/>
      <c r="AX8" s="894"/>
      <c r="AY8" s="894"/>
      <c r="BD8" s="3" t="s">
        <v>2438</v>
      </c>
      <c r="BE8" s="1183">
        <f>SUMIF($AC$726:$AC$760,"&lt;=35%",$G$726:G$760)-SUM($BE$5:BE7)</f>
        <v>0</v>
      </c>
    </row>
    <row r="9" spans="1:58" ht="12.9" customHeight="1">
      <c r="A9" s="1348" t="s">
        <v>2031</v>
      </c>
      <c r="B9" s="1348"/>
      <c r="C9" s="1348"/>
      <c r="D9" s="1348"/>
      <c r="E9" s="1348"/>
      <c r="F9" s="1348"/>
      <c r="G9" s="1348"/>
      <c r="H9" s="1348"/>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c r="AT9" s="1348"/>
      <c r="AU9" s="13"/>
      <c r="AV9" s="13"/>
      <c r="AW9" s="13"/>
      <c r="AX9" s="13"/>
      <c r="AY9" s="13"/>
      <c r="BD9" s="1182" t="s">
        <v>2430</v>
      </c>
      <c r="BE9" s="1183">
        <f>SUMIF($AC$726:$AC$760,"&lt;=40%",$G$726:G$760)-SUM($BE$5:BE8)</f>
        <v>0</v>
      </c>
    </row>
    <row r="10" spans="1:58" ht="12.9" customHeight="1">
      <c r="A10" s="1348" t="s">
        <v>2600</v>
      </c>
      <c r="B10" s="1348"/>
      <c r="C10" s="1348"/>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c r="AT10" s="1348"/>
      <c r="AU10" s="13"/>
      <c r="AV10" s="13"/>
      <c r="AW10" s="13"/>
      <c r="AX10" s="13"/>
      <c r="AY10" s="13"/>
      <c r="BD10" s="3" t="s">
        <v>2439</v>
      </c>
      <c r="BE10" s="1183">
        <f>SUMIF($AC$726:$AC$760,"&lt;=45%",$G$726:G$760)-SUM($BE$5:BE9)</f>
        <v>0</v>
      </c>
    </row>
    <row r="11" spans="1:58" ht="12.9" customHeight="1">
      <c r="A11" s="1348" t="s">
        <v>2528</v>
      </c>
      <c r="B11" s="1348"/>
      <c r="C11" s="1348"/>
      <c r="D11" s="1348"/>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c r="AT11" s="1348"/>
      <c r="AU11" s="13"/>
      <c r="AV11" s="13"/>
      <c r="AW11" s="13"/>
      <c r="AX11" s="13"/>
      <c r="AY11" s="13"/>
      <c r="BD11" s="1181" t="s">
        <v>2431</v>
      </c>
      <c r="BE11" s="1183">
        <f>SUMIF($AC$726:$AC$760,"&lt;=50%",$G$726:G$760)-SUM($BE$5:BE10)</f>
        <v>46</v>
      </c>
    </row>
    <row r="12" spans="1:58" ht="12.9" customHeight="1">
      <c r="A12" s="1500" t="s">
        <v>2635</v>
      </c>
      <c r="B12" s="1500"/>
      <c r="C12" s="1500"/>
      <c r="D12" s="1500"/>
      <c r="E12" s="1500"/>
      <c r="F12" s="1500"/>
      <c r="G12" s="1500"/>
      <c r="H12" s="1500"/>
      <c r="I12" s="1500"/>
      <c r="J12" s="1500"/>
      <c r="K12" s="1500"/>
      <c r="L12" s="1500"/>
      <c r="M12" s="1500"/>
      <c r="N12" s="1500"/>
      <c r="O12" s="1500"/>
      <c r="P12" s="1500"/>
      <c r="Q12" s="1500"/>
      <c r="R12" s="1500"/>
      <c r="S12" s="1500"/>
      <c r="T12" s="1500"/>
      <c r="U12" s="1500"/>
      <c r="V12" s="1500"/>
      <c r="W12" s="1500"/>
      <c r="X12" s="1500"/>
      <c r="Y12" s="1500"/>
      <c r="Z12" s="1500"/>
      <c r="AA12" s="1500"/>
      <c r="AB12" s="1500"/>
      <c r="AC12" s="1500"/>
      <c r="AD12" s="1500"/>
      <c r="AE12" s="1500"/>
      <c r="AF12" s="1500"/>
      <c r="AG12" s="1500"/>
      <c r="AH12" s="1500"/>
      <c r="AI12" s="1500"/>
      <c r="AJ12" s="1500"/>
      <c r="AK12" s="1500"/>
      <c r="AL12" s="1500"/>
      <c r="AM12" s="1500"/>
      <c r="AN12" s="1500"/>
      <c r="AO12" s="1500"/>
      <c r="AP12" s="1500"/>
      <c r="AQ12" s="1500"/>
      <c r="AR12" s="1500"/>
      <c r="AS12" s="1500"/>
      <c r="AT12" s="1500"/>
      <c r="AU12" s="6"/>
      <c r="AV12" s="6"/>
      <c r="AW12" s="6"/>
      <c r="AX12" s="6"/>
      <c r="AY12" s="6"/>
      <c r="BD12" s="3" t="s">
        <v>2440</v>
      </c>
      <c r="BE12" s="1183">
        <f>SUMIF($AC$726:$AC$760,"&lt;=55%",$G$726:G$760)-SUM($BE$5:BE11)</f>
        <v>0</v>
      </c>
    </row>
    <row r="13" spans="1:58" ht="12.9" customHeight="1">
      <c r="A13" s="1266" t="s">
        <v>2032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2432</v>
      </c>
      <c r="BE13" s="1183">
        <f>SUMIF($AC$726:$AC$760,"&lt;=60%",$G$726:G$760)-SUM($BE$5:BE12)</f>
        <v>0</v>
      </c>
    </row>
    <row r="14" spans="1:58"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2433</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 customHeight="1">
      <c r="A16" s="57" t="s">
        <v>2033</v>
      </c>
      <c r="C16" s="4"/>
      <c r="D16" s="4"/>
      <c r="E16" s="4"/>
      <c r="F16" s="4"/>
      <c r="G16" s="4"/>
      <c r="H16" s="1507" t="s">
        <v>2761</v>
      </c>
      <c r="I16" s="1508"/>
      <c r="J16" s="1508"/>
      <c r="K16" s="1508"/>
      <c r="L16" s="1508"/>
      <c r="M16" s="1508"/>
      <c r="N16" s="1508"/>
      <c r="O16" s="1508"/>
      <c r="P16" s="1508"/>
      <c r="Q16" s="1508"/>
      <c r="R16" s="1508"/>
      <c r="S16" s="1508"/>
      <c r="T16" s="1508"/>
      <c r="U16" s="1508"/>
      <c r="V16" s="1508"/>
      <c r="W16" s="1508"/>
      <c r="X16" s="1508"/>
      <c r="Y16" s="1508"/>
      <c r="Z16" s="1508"/>
      <c r="AA16" s="1508"/>
      <c r="AB16" s="1508"/>
      <c r="AC16" s="1508"/>
      <c r="AD16" s="1508"/>
      <c r="AE16" s="1508"/>
      <c r="AF16" s="1508"/>
      <c r="AG16" s="1508"/>
      <c r="AH16" s="1508"/>
      <c r="AI16" s="1508"/>
      <c r="AJ16" s="1508"/>
      <c r="BD16" s="1182" t="s">
        <v>656</v>
      </c>
      <c r="BE16" s="1183" t="str">
        <f>Application!H18</f>
        <v>Oak &amp; Ivy</v>
      </c>
    </row>
    <row r="17" spans="1:58" ht="12.9" customHeight="1">
      <c r="BD17" s="1181" t="s">
        <v>2446</v>
      </c>
      <c r="BE17" s="1183">
        <f>Application!AA943</f>
        <v>0</v>
      </c>
    </row>
    <row r="18" spans="1:58" ht="12.9" customHeight="1">
      <c r="A18" s="57" t="s">
        <v>101</v>
      </c>
      <c r="C18" s="4"/>
      <c r="D18" s="4"/>
      <c r="E18" s="4"/>
      <c r="F18" s="4"/>
      <c r="G18" s="4"/>
      <c r="H18" s="1467" t="s">
        <v>2643</v>
      </c>
      <c r="I18" s="1505"/>
      <c r="J18" s="1505"/>
      <c r="K18" s="1505"/>
      <c r="L18" s="1505"/>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BD18" s="1182" t="s">
        <v>2447</v>
      </c>
      <c r="BE18" s="1183">
        <f>AA943</f>
        <v>0</v>
      </c>
    </row>
    <row r="19" spans="1:58" ht="12.9" customHeight="1">
      <c r="BD19" s="1181" t="s">
        <v>2448</v>
      </c>
      <c r="BE19" s="1183">
        <f>Application!M26</f>
        <v>2877562</v>
      </c>
    </row>
    <row r="20" spans="1:58" ht="12.9" customHeight="1">
      <c r="A20" s="1501" t="s">
        <v>873</v>
      </c>
      <c r="B20" s="1501"/>
      <c r="C20" s="1501"/>
      <c r="D20" s="1501"/>
      <c r="E20" s="1501"/>
      <c r="F20" s="1501"/>
      <c r="G20" s="1501"/>
      <c r="H20" s="1501"/>
      <c r="I20" s="1501"/>
      <c r="J20" s="1501"/>
      <c r="K20" s="1501"/>
      <c r="L20" s="1501"/>
      <c r="M20" s="1501"/>
      <c r="N20" s="1501"/>
      <c r="O20" s="1501"/>
      <c r="P20" s="1501"/>
      <c r="Q20" s="1501"/>
      <c r="R20" s="1501"/>
      <c r="S20" s="1501"/>
      <c r="T20" s="1501"/>
      <c r="U20" s="1501"/>
      <c r="V20" s="1501"/>
      <c r="W20" s="1501"/>
      <c r="X20" s="1501"/>
      <c r="Y20" s="1501"/>
      <c r="Z20" s="1501"/>
      <c r="AA20" s="1501"/>
      <c r="AB20" s="1501"/>
      <c r="AC20" s="1501"/>
      <c r="AD20" s="1501"/>
      <c r="AE20" s="1501"/>
      <c r="AF20" s="1501"/>
      <c r="AG20" s="1501"/>
      <c r="AH20" s="1501"/>
      <c r="AI20" s="1501"/>
      <c r="AJ20" s="1501"/>
      <c r="AK20" s="1501"/>
      <c r="AL20" s="1501"/>
      <c r="AM20" s="1501"/>
      <c r="AN20" s="1501"/>
      <c r="AO20" s="1501"/>
      <c r="AP20" s="1501"/>
      <c r="AQ20" s="1501"/>
      <c r="AR20" s="1501"/>
      <c r="AS20" s="1501"/>
      <c r="AT20" s="1501"/>
      <c r="AU20" s="896"/>
      <c r="AV20" s="896"/>
      <c r="AW20" s="896"/>
      <c r="AX20" s="896"/>
      <c r="AY20" s="896"/>
      <c r="BD20" s="1182" t="s">
        <v>2449</v>
      </c>
      <c r="BE20" s="1183">
        <f>Application!M27</f>
        <v>14180161</v>
      </c>
    </row>
    <row r="21" spans="1:58" ht="12.9" customHeight="1">
      <c r="A21" s="1402" t="s">
        <v>1008</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897"/>
      <c r="AN21" s="897"/>
      <c r="AO21" s="897"/>
      <c r="AP21" s="897"/>
      <c r="AQ21" s="897"/>
      <c r="AR21" s="897"/>
      <c r="AS21" s="897"/>
      <c r="AT21" s="897"/>
      <c r="AU21" s="897"/>
      <c r="AV21" s="897"/>
      <c r="AW21" s="897"/>
      <c r="AX21" s="897"/>
      <c r="AY21" s="897"/>
      <c r="BD21" s="1181" t="s">
        <v>2450</v>
      </c>
      <c r="BE21" s="1183">
        <f>Application!AM562</f>
        <v>16422285</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63865236</v>
      </c>
      <c r="BF22" s="3" t="s">
        <v>2521</v>
      </c>
    </row>
    <row r="23" spans="1:58" ht="12.9" customHeight="1">
      <c r="A23" s="1301" t="s">
        <v>2099</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2451</v>
      </c>
      <c r="BE23" s="1183">
        <f>'Sources and Uses Budget'!B4</f>
        <v>2600000</v>
      </c>
    </row>
    <row r="24" spans="1:58" ht="12.9"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2452</v>
      </c>
      <c r="BE24" s="1183">
        <f>Application!AG459</f>
        <v>68724</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 customHeight="1">
      <c r="A26" s="4"/>
      <c r="C26" s="4"/>
      <c r="D26" s="4"/>
      <c r="E26" s="4"/>
      <c r="F26" s="4"/>
      <c r="G26" s="4"/>
      <c r="H26" s="4"/>
      <c r="I26" s="4"/>
      <c r="J26" s="4"/>
      <c r="K26" s="4"/>
      <c r="L26" s="4"/>
      <c r="M26" s="1506">
        <f>'Basis &amp; Credits'!AB56</f>
        <v>2877562</v>
      </c>
      <c r="N26" s="1506"/>
      <c r="O26" s="1506"/>
      <c r="P26" s="1506"/>
      <c r="Q26" s="1506"/>
      <c r="R26" s="4" t="s">
        <v>759</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403">
        <f>'Basis &amp; Credits'!AB78</f>
        <v>14180161</v>
      </c>
      <c r="N27" s="1403"/>
      <c r="O27" s="1403"/>
      <c r="P27" s="1403"/>
      <c r="Q27" s="1403"/>
      <c r="R27" s="3" t="s">
        <v>1266</v>
      </c>
      <c r="S27" s="4"/>
      <c r="T27" s="4"/>
      <c r="U27" s="4"/>
      <c r="V27" s="4"/>
      <c r="W27" s="4"/>
      <c r="X27" s="4"/>
      <c r="Y27" s="4"/>
      <c r="Z27" s="4"/>
      <c r="AF27" s="4"/>
      <c r="AG27" s="4"/>
      <c r="AH27" s="4"/>
      <c r="AI27" s="4"/>
      <c r="AJ27" s="4"/>
      <c r="AK27" s="4"/>
      <c r="BD27" s="1181" t="s">
        <v>2052</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 customHeight="1">
      <c r="A29" s="1502" t="s">
        <v>2100</v>
      </c>
      <c r="B29" s="1502"/>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BD29" s="1181" t="s">
        <v>2455</v>
      </c>
      <c r="BE29" s="1183" t="b">
        <f>Application!M367="Yes"</f>
        <v>0</v>
      </c>
    </row>
    <row r="30" spans="1:58" ht="12.9" customHeight="1">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Z30" s="20"/>
      <c r="BD30" s="1182" t="s">
        <v>28</v>
      </c>
      <c r="BE30" s="1183" t="b">
        <f>Application!AJ364="Yes"</f>
        <v>0</v>
      </c>
    </row>
    <row r="31" spans="1:58" ht="12.9" customHeight="1">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20"/>
      <c r="AV31" s="20"/>
      <c r="AW31" s="20"/>
      <c r="AX31" s="20"/>
      <c r="AY31" s="20"/>
      <c r="AZ31" s="20"/>
      <c r="BD31" s="1181" t="s">
        <v>2456</v>
      </c>
      <c r="BE31" s="1183" t="str">
        <f>Application!D211</f>
        <v>Special Needs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93</v>
      </c>
    </row>
    <row r="33" spans="1:57" ht="12.9" hidden="1" customHeight="1">
      <c r="A33" s="519" t="s">
        <v>1277</v>
      </c>
      <c r="C33" s="519"/>
      <c r="D33" s="519"/>
      <c r="E33" s="519"/>
      <c r="F33" s="519"/>
      <c r="G33" s="519"/>
      <c r="H33" s="519"/>
      <c r="I33" s="519"/>
      <c r="J33" s="519"/>
      <c r="K33" s="519"/>
      <c r="L33" s="519"/>
      <c r="M33" s="519"/>
      <c r="N33" s="519"/>
      <c r="O33" s="1344" t="s">
        <v>669</v>
      </c>
      <c r="P33" s="1344"/>
      <c r="Q33" s="1503" t="s">
        <v>2101</v>
      </c>
      <c r="R33" s="1503"/>
      <c r="S33" s="1503"/>
      <c r="T33" s="1503"/>
      <c r="U33" s="1503"/>
      <c r="V33" s="1503"/>
      <c r="W33" s="1503"/>
      <c r="X33" s="1503"/>
      <c r="Y33" s="1503"/>
      <c r="Z33" s="1503"/>
      <c r="AA33" s="1503"/>
      <c r="AB33" s="1503"/>
      <c r="AC33" s="1503"/>
      <c r="AD33" s="1503"/>
      <c r="AE33" s="1503"/>
      <c r="AF33" s="1503"/>
      <c r="AG33" s="1503"/>
      <c r="AH33" s="1503"/>
      <c r="AI33" s="1503"/>
      <c r="AJ33" s="1503"/>
      <c r="AK33" s="1503"/>
      <c r="AL33" s="1503"/>
      <c r="AM33" s="1503"/>
      <c r="AN33" s="1503"/>
      <c r="AO33" s="1503"/>
      <c r="AP33" s="1503"/>
      <c r="AQ33" s="1503"/>
      <c r="AR33" s="1503"/>
      <c r="AS33" s="1503"/>
      <c r="AT33" s="1503"/>
      <c r="AU33" s="20"/>
      <c r="AV33" s="20"/>
      <c r="AW33" s="20"/>
      <c r="AX33" s="20"/>
      <c r="AY33" s="20"/>
      <c r="BD33" s="1181" t="s">
        <v>2522</v>
      </c>
      <c r="BE33" s="1183" t="str">
        <f>Application!D220</f>
        <v>Balance of Los Angeles County</v>
      </c>
    </row>
    <row r="34" spans="1:57" ht="12.9" hidden="1" customHeight="1">
      <c r="A34" s="1502" t="s">
        <v>2102</v>
      </c>
      <c r="B34" s="1502"/>
      <c r="C34" s="1502"/>
      <c r="D34" s="1502"/>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20"/>
      <c r="AV34" s="20"/>
      <c r="AW34" s="20"/>
      <c r="AX34" s="20"/>
      <c r="AY34" s="20"/>
      <c r="AZ34" s="20"/>
      <c r="BD34" s="1182" t="s">
        <v>2458</v>
      </c>
      <c r="BE34" s="1183" t="str">
        <f>Application!I185</f>
        <v>4217 East Live Oak Avenue</v>
      </c>
    </row>
    <row r="35" spans="1:57" ht="12.9" hidden="1" customHeight="1">
      <c r="A35" s="1502"/>
      <c r="B35" s="1502"/>
      <c r="C35" s="1502"/>
      <c r="D35" s="15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20"/>
      <c r="AV35" s="20"/>
      <c r="AW35" s="20"/>
      <c r="AX35" s="20"/>
      <c r="AY35" s="20"/>
      <c r="AZ35" s="20"/>
      <c r="BD35" s="1181" t="s">
        <v>2459</v>
      </c>
      <c r="BE35" s="1183" t="str">
        <f>IF(Application!E187="","",Application!E187)</f>
        <v/>
      </c>
    </row>
    <row r="36" spans="1:57" ht="12.9" hidden="1" customHeight="1">
      <c r="A36" s="1502"/>
      <c r="B36" s="1502"/>
      <c r="C36" s="1502"/>
      <c r="D36" s="1502"/>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20"/>
      <c r="AV36" s="20"/>
      <c r="AW36" s="20"/>
      <c r="AX36" s="20"/>
      <c r="AY36" s="20"/>
      <c r="AZ36" s="20"/>
      <c r="BD36" s="1182" t="s">
        <v>2460</v>
      </c>
      <c r="BE36" s="1183" t="str">
        <f>Application!I189</f>
        <v>Arcadia</v>
      </c>
    </row>
    <row r="37" spans="1:57" ht="12.9" hidden="1" customHeight="1">
      <c r="A37" s="1502"/>
      <c r="B37" s="1502"/>
      <c r="C37" s="1502"/>
      <c r="D37" s="1502"/>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Z37" s="20"/>
      <c r="BD37" s="1181" t="s">
        <v>2461</v>
      </c>
      <c r="BE37" s="1183" t="str">
        <f>Application!T189</f>
        <v>Los Angeles</v>
      </c>
    </row>
    <row r="38" spans="1:57" ht="12.9" hidden="1" customHeight="1">
      <c r="A38" s="3"/>
      <c r="AZ38" s="20"/>
      <c r="BD38" s="1182" t="s">
        <v>2462</v>
      </c>
      <c r="BE38" s="1183">
        <f>Application!I190</f>
        <v>91006</v>
      </c>
    </row>
    <row r="39" spans="1:57" ht="12.9" customHeight="1">
      <c r="A39" s="1268" t="s">
        <v>2103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2463</v>
      </c>
      <c r="BE39" s="1183">
        <f>Application!AG446</f>
        <v>95</v>
      </c>
    </row>
    <row r="40" spans="1:57"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93</v>
      </c>
    </row>
    <row r="41" spans="1:57"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2464</v>
      </c>
      <c r="BE42" s="1185">
        <f>Application!AC761</f>
        <v>0.39892473118279564</v>
      </c>
    </row>
    <row r="43" spans="1:57"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2465</v>
      </c>
      <c r="BE43" s="1185">
        <f>Application!AH761</f>
        <v>0.30000315698419605</v>
      </c>
    </row>
    <row r="44" spans="1:57"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2466</v>
      </c>
      <c r="BE44" s="1183">
        <f>Application!AC463</f>
        <v>672265.64210526319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2.9" customHeight="1">
      <c r="A46" s="1301" t="s">
        <v>2104</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2468</v>
      </c>
      <c r="BE46" s="1183" t="b">
        <f>Application!T195="Yes"</f>
        <v>1</v>
      </c>
    </row>
    <row r="47" spans="1:57" ht="12.9"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2469</v>
      </c>
      <c r="BE47" s="1183" t="b">
        <f>Application!T196="Yes"</f>
        <v>0</v>
      </c>
    </row>
    <row r="48" spans="1:57" ht="12.9"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2470</v>
      </c>
      <c r="BE48" s="1183" t="str">
        <f>Application!M252</f>
        <v>AHG Arcadia LLC</v>
      </c>
    </row>
    <row r="49" spans="1:57" ht="12.9"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2471</v>
      </c>
      <c r="BE49" s="1183" t="str">
        <f>Application!M255</f>
        <v>James Silverwood</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Affirmed Housing Group, Inc.</v>
      </c>
    </row>
    <row r="51" spans="1:57" ht="12.9" customHeight="1">
      <c r="A51" s="1268" t="s">
        <v>2105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2473</v>
      </c>
      <c r="BE51" s="1183" t="str">
        <f>Application!M260</f>
        <v>CFAH Housing LLC</v>
      </c>
    </row>
    <row r="52" spans="1:57"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2474</v>
      </c>
      <c r="BE52" s="1183" t="str">
        <f>Application!M263</f>
        <v>Robin Martinez</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t="str">
        <f>Application!AA266</f>
        <v>Compass For Affordable Housing</v>
      </c>
    </row>
    <row r="54" spans="1:57" ht="12.9" customHeight="1">
      <c r="A54" s="1268" t="s">
        <v>2106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2476</v>
      </c>
      <c r="BE54" s="1183" t="str">
        <f>Application!M268</f>
        <v>Kingdom AC LLC</v>
      </c>
    </row>
    <row r="55" spans="1:57"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2477</v>
      </c>
      <c r="BE55" s="1183" t="str">
        <f>Application!M271</f>
        <v>William Leach</v>
      </c>
    </row>
    <row r="56" spans="1:57"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2478</v>
      </c>
      <c r="BE56" s="1183" t="str">
        <f>Application!AA274</f>
        <v>Kingdom Development, Inc.</v>
      </c>
    </row>
    <row r="57" spans="1:57"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2479</v>
      </c>
      <c r="BE57" s="1183" t="str">
        <f>Application!H296</f>
        <v>Affirmed Housing Group, Inc.</v>
      </c>
    </row>
    <row r="58" spans="1:57"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2480</v>
      </c>
      <c r="BE58" s="1183" t="str">
        <f>Application!H297</f>
        <v>11673 George Cooke Express Drive</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San Diego,CA 92127</v>
      </c>
    </row>
    <row r="60" spans="1:57" ht="12.9" customHeight="1">
      <c r="A60" s="1268" t="s">
        <v>2107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2482</v>
      </c>
      <c r="BE60" s="1183" t="str">
        <f>Application!H299</f>
        <v>Martin Rubalcava</v>
      </c>
    </row>
    <row r="61" spans="1:57"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2483</v>
      </c>
      <c r="BE61" s="1183" t="str">
        <f>Application!H302</f>
        <v>martin@affirmedhousing.com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0.83655007214983257</v>
      </c>
    </row>
    <row r="63" spans="1:57" ht="12.9"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0.88999998000000002</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 customHeight="1">
      <c r="A65" s="1504" t="s">
        <v>2109</v>
      </c>
      <c r="B65" s="1504"/>
      <c r="C65" s="1504"/>
      <c r="D65" s="1504"/>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c r="AI65" s="1504"/>
      <c r="AJ65" s="1504"/>
      <c r="AK65" s="1504"/>
      <c r="AL65" s="1504"/>
      <c r="AM65" s="1504"/>
      <c r="AN65" s="1504"/>
      <c r="AO65" s="1504"/>
      <c r="AP65" s="1504"/>
      <c r="AQ65" s="1504"/>
      <c r="AR65" s="1504"/>
      <c r="AS65" s="1504"/>
      <c r="AT65" s="1504"/>
      <c r="AU65" s="21"/>
      <c r="AV65" s="21"/>
      <c r="AW65" s="21"/>
      <c r="AX65" s="21"/>
      <c r="AY65" s="21"/>
      <c r="AZ65" s="20"/>
      <c r="BD65" s="1181" t="s">
        <v>2519</v>
      </c>
      <c r="BE65" s="1183" t="str">
        <f>Z205</f>
        <v>$500M</v>
      </c>
    </row>
    <row r="66" spans="1:57" ht="12.9" customHeight="1">
      <c r="A66" s="1504"/>
      <c r="B66" s="1504"/>
      <c r="C66" s="1504"/>
      <c r="D66" s="1504"/>
      <c r="E66" s="1504"/>
      <c r="F66" s="1504"/>
      <c r="G66" s="1504"/>
      <c r="H66" s="1504"/>
      <c r="I66" s="1504"/>
      <c r="J66" s="1504"/>
      <c r="K66" s="1504"/>
      <c r="L66" s="1504"/>
      <c r="M66" s="1504"/>
      <c r="N66" s="1504"/>
      <c r="O66" s="1504"/>
      <c r="P66" s="1504"/>
      <c r="Q66" s="1504"/>
      <c r="R66" s="1504"/>
      <c r="S66" s="1504"/>
      <c r="T66" s="1504"/>
      <c r="U66" s="1504"/>
      <c r="V66" s="1504"/>
      <c r="W66" s="1504"/>
      <c r="X66" s="1504"/>
      <c r="Y66" s="1504"/>
      <c r="Z66" s="1504"/>
      <c r="AA66" s="1504"/>
      <c r="AB66" s="1504"/>
      <c r="AC66" s="1504"/>
      <c r="AD66" s="1504"/>
      <c r="AE66" s="1504"/>
      <c r="AF66" s="1504"/>
      <c r="AG66" s="1504"/>
      <c r="AH66" s="1504"/>
      <c r="AI66" s="1504"/>
      <c r="AJ66" s="1504"/>
      <c r="AK66" s="1504"/>
      <c r="AL66" s="1504"/>
      <c r="AM66" s="1504"/>
      <c r="AN66" s="1504"/>
      <c r="AO66" s="1504"/>
      <c r="AP66" s="1504"/>
      <c r="AQ66" s="1504"/>
      <c r="AR66" s="1504"/>
      <c r="AS66" s="1504"/>
      <c r="AT66" s="1504"/>
      <c r="AU66" s="21"/>
      <c r="AV66" s="21"/>
      <c r="AW66" s="21"/>
      <c r="AX66" s="21"/>
      <c r="AY66" s="21"/>
      <c r="AZ66" s="20"/>
      <c r="BD66" s="1182" t="s">
        <v>2486</v>
      </c>
      <c r="BE66" s="1183" t="b">
        <f>Application!Z205="State Farmworker Credit"</f>
        <v>0</v>
      </c>
    </row>
    <row r="67" spans="1:57" ht="12.9" customHeight="1">
      <c r="A67" s="1504"/>
      <c r="B67" s="1504"/>
      <c r="C67" s="1504"/>
      <c r="D67" s="1504"/>
      <c r="E67" s="1504"/>
      <c r="F67" s="1504"/>
      <c r="G67" s="1504"/>
      <c r="H67" s="1504"/>
      <c r="I67" s="1504"/>
      <c r="J67" s="1504"/>
      <c r="K67" s="1504"/>
      <c r="L67" s="1504"/>
      <c r="M67" s="1504"/>
      <c r="N67" s="1504"/>
      <c r="O67" s="1504"/>
      <c r="P67" s="1504"/>
      <c r="Q67" s="1504"/>
      <c r="R67" s="1504"/>
      <c r="S67" s="1504"/>
      <c r="T67" s="1504"/>
      <c r="U67" s="1504"/>
      <c r="V67" s="1504"/>
      <c r="W67" s="1504"/>
      <c r="X67" s="1504"/>
      <c r="Y67" s="1504"/>
      <c r="Z67" s="1504"/>
      <c r="AA67" s="1504"/>
      <c r="AB67" s="1504"/>
      <c r="AC67" s="1504"/>
      <c r="AD67" s="1504"/>
      <c r="AE67" s="1504"/>
      <c r="AF67" s="1504"/>
      <c r="AG67" s="1504"/>
      <c r="AH67" s="1504"/>
      <c r="AI67" s="1504"/>
      <c r="AJ67" s="1504"/>
      <c r="AK67" s="1504"/>
      <c r="AL67" s="1504"/>
      <c r="AM67" s="1504"/>
      <c r="AN67" s="1504"/>
      <c r="AO67" s="1504"/>
      <c r="AP67" s="1504"/>
      <c r="AQ67" s="1504"/>
      <c r="AR67" s="1504"/>
      <c r="AS67" s="1504"/>
      <c r="AT67" s="1504"/>
      <c r="AZ67" s="20"/>
      <c r="BD67" s="1181" t="s">
        <v>2487</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 customHeight="1">
      <c r="A69" s="1504" t="s">
        <v>2110</v>
      </c>
      <c r="B69" s="1504"/>
      <c r="C69" s="1504"/>
      <c r="D69" s="1504"/>
      <c r="E69" s="1504"/>
      <c r="F69" s="1504"/>
      <c r="G69" s="1504"/>
      <c r="H69" s="1504"/>
      <c r="I69" s="1504"/>
      <c r="J69" s="1504"/>
      <c r="K69" s="1504"/>
      <c r="L69" s="1504"/>
      <c r="M69" s="1504"/>
      <c r="N69" s="1504"/>
      <c r="O69" s="1504"/>
      <c r="P69" s="1504"/>
      <c r="Q69" s="1504"/>
      <c r="R69" s="1504"/>
      <c r="S69" s="1504"/>
      <c r="T69" s="1504"/>
      <c r="U69" s="1504"/>
      <c r="V69" s="1504"/>
      <c r="W69" s="1504"/>
      <c r="X69" s="1504"/>
      <c r="Y69" s="1504"/>
      <c r="Z69" s="1504"/>
      <c r="AA69" s="1504"/>
      <c r="AB69" s="1504"/>
      <c r="AC69" s="1504"/>
      <c r="AD69" s="1504"/>
      <c r="AE69" s="1504"/>
      <c r="AF69" s="1504"/>
      <c r="AG69" s="1504"/>
      <c r="AH69" s="1504"/>
      <c r="AI69" s="1504"/>
      <c r="AJ69" s="1504"/>
      <c r="AK69" s="1504"/>
      <c r="AL69" s="1504"/>
      <c r="AM69" s="1504"/>
      <c r="AN69" s="1504"/>
      <c r="AO69" s="1504"/>
      <c r="AP69" s="1504"/>
      <c r="AQ69" s="1504"/>
      <c r="AR69" s="1504"/>
      <c r="AS69" s="1504"/>
      <c r="AT69" s="1504"/>
      <c r="AZ69" s="20"/>
      <c r="BD69" s="1181" t="s">
        <v>2489</v>
      </c>
      <c r="BE69" s="1183" t="str">
        <f>Application!W708</f>
        <v>Los Angeles County Development Authority</v>
      </c>
    </row>
    <row r="70" spans="1:57" ht="12.9" customHeight="1">
      <c r="A70" s="1504"/>
      <c r="B70" s="1504"/>
      <c r="C70" s="1504"/>
      <c r="D70" s="1504"/>
      <c r="E70" s="1504"/>
      <c r="F70" s="1504"/>
      <c r="G70" s="1504"/>
      <c r="H70" s="1504"/>
      <c r="I70" s="1504"/>
      <c r="J70" s="1504"/>
      <c r="K70" s="1504"/>
      <c r="L70" s="1504"/>
      <c r="M70" s="1504"/>
      <c r="N70" s="1504"/>
      <c r="O70" s="1504"/>
      <c r="P70" s="1504"/>
      <c r="Q70" s="1504"/>
      <c r="R70" s="1504"/>
      <c r="S70" s="1504"/>
      <c r="T70" s="1504"/>
      <c r="U70" s="1504"/>
      <c r="V70" s="1504"/>
      <c r="W70" s="1504"/>
      <c r="X70" s="1504"/>
      <c r="Y70" s="1504"/>
      <c r="Z70" s="1504"/>
      <c r="AA70" s="1504"/>
      <c r="AB70" s="1504"/>
      <c r="AC70" s="1504"/>
      <c r="AD70" s="1504"/>
      <c r="AE70" s="1504"/>
      <c r="AF70" s="1504"/>
      <c r="AG70" s="1504"/>
      <c r="AH70" s="1504"/>
      <c r="AI70" s="1504"/>
      <c r="AJ70" s="1504"/>
      <c r="AK70" s="1504"/>
      <c r="AL70" s="1504"/>
      <c r="AM70" s="1504"/>
      <c r="AN70" s="1504"/>
      <c r="AO70" s="1504"/>
      <c r="AP70" s="1504"/>
      <c r="AQ70" s="1504"/>
      <c r="AR70" s="1504"/>
      <c r="AS70" s="1504"/>
      <c r="AT70" s="1504"/>
      <c r="AU70" s="20"/>
      <c r="AV70" s="20"/>
      <c r="AW70" s="20"/>
      <c r="AX70" s="20"/>
      <c r="AY70" s="20"/>
      <c r="AZ70" s="20"/>
      <c r="BD70" s="1182" t="s">
        <v>2490</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 customHeight="1">
      <c r="A72" s="1502" t="s">
        <v>2111</v>
      </c>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P72" s="1502"/>
      <c r="AQ72" s="1502"/>
      <c r="AR72" s="1502"/>
      <c r="AS72" s="1502"/>
      <c r="AT72" s="1502"/>
      <c r="AU72" s="20"/>
      <c r="AV72" s="20"/>
      <c r="AW72" s="20"/>
      <c r="AX72" s="20"/>
      <c r="AY72" s="20"/>
      <c r="AZ72" s="20"/>
      <c r="BD72" s="1182" t="s">
        <v>2491</v>
      </c>
      <c r="BE72" s="1183">
        <f>'Points System'!AF827</f>
        <v>10</v>
      </c>
    </row>
    <row r="73" spans="1:57" ht="12.9" customHeight="1">
      <c r="A73" s="1502"/>
      <c r="B73" s="1502"/>
      <c r="C73" s="1502"/>
      <c r="D73" s="1502"/>
      <c r="E73" s="1502"/>
      <c r="F73" s="1502"/>
      <c r="G73" s="1502"/>
      <c r="H73" s="1502"/>
      <c r="I73" s="1502"/>
      <c r="J73" s="1502"/>
      <c r="K73" s="1502"/>
      <c r="L73" s="1502"/>
      <c r="M73" s="1502"/>
      <c r="N73" s="1502"/>
      <c r="O73" s="1502"/>
      <c r="P73" s="1502"/>
      <c r="Q73" s="1502"/>
      <c r="R73" s="1502"/>
      <c r="S73" s="1502"/>
      <c r="T73" s="1502"/>
      <c r="U73" s="1502"/>
      <c r="V73" s="1502"/>
      <c r="W73" s="1502"/>
      <c r="X73" s="1502"/>
      <c r="Y73" s="1502"/>
      <c r="Z73" s="1502"/>
      <c r="AA73" s="1502"/>
      <c r="AB73" s="1502"/>
      <c r="AC73" s="1502"/>
      <c r="AD73" s="1502"/>
      <c r="AE73" s="1502"/>
      <c r="AF73" s="1502"/>
      <c r="AG73" s="1502"/>
      <c r="AH73" s="1502"/>
      <c r="AI73" s="1502"/>
      <c r="AJ73" s="1502"/>
      <c r="AK73" s="1502"/>
      <c r="AL73" s="1502"/>
      <c r="AM73" s="1502"/>
      <c r="AN73" s="1502"/>
      <c r="AO73" s="1502"/>
      <c r="AP73" s="1502"/>
      <c r="AQ73" s="1502"/>
      <c r="AR73" s="1502"/>
      <c r="AS73" s="1502"/>
      <c r="AT73" s="1502"/>
      <c r="AU73" s="20"/>
      <c r="AV73" s="20"/>
      <c r="AW73" s="20"/>
      <c r="AX73" s="20"/>
      <c r="AY73" s="20"/>
      <c r="AZ73" s="20"/>
      <c r="BD73" s="1181" t="s">
        <v>2492</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 customHeight="1">
      <c r="A75" s="1809" t="s">
        <v>2112</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c r="BD75" s="1181" t="s">
        <v>2494</v>
      </c>
      <c r="BE75" s="1183">
        <f>'Points System'!AF830</f>
        <v>10</v>
      </c>
    </row>
    <row r="76" spans="1:57" ht="12.9"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c r="BD76" s="1182" t="s">
        <v>2495</v>
      </c>
      <c r="BE76" s="1183">
        <f>'Points System'!AF833</f>
        <v>10</v>
      </c>
    </row>
    <row r="77" spans="1:57" ht="12.9"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c r="BD77" s="1181" t="s">
        <v>2496</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 customHeight="1">
      <c r="A79" s="1504" t="s">
        <v>2113</v>
      </c>
      <c r="B79" s="1504"/>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c r="AD79" s="1504"/>
      <c r="AE79" s="1504"/>
      <c r="AF79" s="1504"/>
      <c r="AG79" s="1504"/>
      <c r="AH79" s="1504"/>
      <c r="AI79" s="1504"/>
      <c r="AJ79" s="1504"/>
      <c r="AK79" s="1504"/>
      <c r="AL79" s="1504"/>
      <c r="AM79" s="1504"/>
      <c r="AN79" s="1504"/>
      <c r="AO79" s="1504"/>
      <c r="AP79" s="1504"/>
      <c r="AQ79" s="1504"/>
      <c r="AR79" s="1504"/>
      <c r="AS79" s="1504"/>
      <c r="AT79" s="1504"/>
      <c r="AU79" s="20"/>
      <c r="AV79" s="20"/>
      <c r="AW79" s="20"/>
      <c r="AX79" s="20"/>
      <c r="AY79" s="20"/>
      <c r="AZ79" s="20"/>
      <c r="BD79" s="1181" t="s">
        <v>2612</v>
      </c>
      <c r="BE79" s="1183">
        <f>'Points System'!AF837</f>
        <v>10</v>
      </c>
    </row>
    <row r="80" spans="1:57" ht="12.9" customHeight="1">
      <c r="A80" s="1504"/>
      <c r="B80" s="1504"/>
      <c r="C80" s="1504"/>
      <c r="D80" s="1504"/>
      <c r="E80" s="1504"/>
      <c r="F80" s="1504"/>
      <c r="G80" s="1504"/>
      <c r="H80" s="1504"/>
      <c r="I80" s="1504"/>
      <c r="J80" s="1504"/>
      <c r="K80" s="1504"/>
      <c r="L80" s="1504"/>
      <c r="M80" s="1504"/>
      <c r="N80" s="1504"/>
      <c r="O80" s="1504"/>
      <c r="P80" s="1504"/>
      <c r="Q80" s="1504"/>
      <c r="R80" s="1504"/>
      <c r="S80" s="1504"/>
      <c r="T80" s="1504"/>
      <c r="U80" s="1504"/>
      <c r="V80" s="1504"/>
      <c r="W80" s="1504"/>
      <c r="X80" s="1504"/>
      <c r="Y80" s="1504"/>
      <c r="Z80" s="1504"/>
      <c r="AA80" s="1504"/>
      <c r="AB80" s="1504"/>
      <c r="AC80" s="1504"/>
      <c r="AD80" s="1504"/>
      <c r="AE80" s="1504"/>
      <c r="AF80" s="1504"/>
      <c r="AG80" s="1504"/>
      <c r="AH80" s="1504"/>
      <c r="AI80" s="1504"/>
      <c r="AJ80" s="1504"/>
      <c r="AK80" s="1504"/>
      <c r="AL80" s="1504"/>
      <c r="AM80" s="1504"/>
      <c r="AN80" s="1504"/>
      <c r="AO80" s="1504"/>
      <c r="AP80" s="1504"/>
      <c r="AQ80" s="1504"/>
      <c r="AR80" s="1504"/>
      <c r="AS80" s="1504"/>
      <c r="AT80" s="1504"/>
      <c r="AU80" s="20"/>
      <c r="AV80" s="20"/>
      <c r="AW80" s="20"/>
      <c r="AX80" s="20"/>
      <c r="AY80" s="20"/>
      <c r="AZ80" s="20"/>
      <c r="BD80" s="1182" t="s">
        <v>2498</v>
      </c>
      <c r="BE80" s="1183">
        <f>'Points System'!AF839</f>
        <v>10</v>
      </c>
    </row>
    <row r="81" spans="1:57" ht="12.9" customHeight="1">
      <c r="A81" s="1504"/>
      <c r="B81" s="1504"/>
      <c r="C81" s="1504"/>
      <c r="D81" s="1504"/>
      <c r="E81" s="1504"/>
      <c r="F81" s="1504"/>
      <c r="G81" s="1504"/>
      <c r="H81" s="1504"/>
      <c r="I81" s="1504"/>
      <c r="J81" s="1504"/>
      <c r="K81" s="1504"/>
      <c r="L81" s="1504"/>
      <c r="M81" s="1504"/>
      <c r="N81" s="1504"/>
      <c r="O81" s="1504"/>
      <c r="P81" s="1504"/>
      <c r="Q81" s="1504"/>
      <c r="R81" s="1504"/>
      <c r="S81" s="1504"/>
      <c r="T81" s="1504"/>
      <c r="U81" s="1504"/>
      <c r="V81" s="1504"/>
      <c r="W81" s="1504"/>
      <c r="X81" s="1504"/>
      <c r="Y81" s="1504"/>
      <c r="Z81" s="1504"/>
      <c r="AA81" s="1504"/>
      <c r="AB81" s="1504"/>
      <c r="AC81" s="1504"/>
      <c r="AD81" s="1504"/>
      <c r="AE81" s="1504"/>
      <c r="AF81" s="1504"/>
      <c r="AG81" s="1504"/>
      <c r="AH81" s="1504"/>
      <c r="AI81" s="1504"/>
      <c r="AJ81" s="1504"/>
      <c r="AK81" s="1504"/>
      <c r="AL81" s="1504"/>
      <c r="AM81" s="1504"/>
      <c r="AN81" s="1504"/>
      <c r="AO81" s="1504"/>
      <c r="AP81" s="1504"/>
      <c r="AQ81" s="1504"/>
      <c r="AR81" s="1504"/>
      <c r="AS81" s="1504"/>
      <c r="AT81" s="1504"/>
      <c r="AU81" s="20"/>
      <c r="AV81" s="20"/>
      <c r="AW81" s="20"/>
      <c r="AX81" s="20"/>
      <c r="AY81" s="20"/>
      <c r="AZ81" s="20"/>
      <c r="BD81" s="1181" t="s">
        <v>2499</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 customHeight="1">
      <c r="A83" s="1268" t="s">
        <v>2114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2501</v>
      </c>
      <c r="BE83" s="1187">
        <f>'Tie Breaker'!H5</f>
        <v>1.5711806635175924</v>
      </c>
    </row>
    <row r="84" spans="1:57"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2502</v>
      </c>
      <c r="BE84" s="1183" t="str">
        <f>Application!O153</f>
        <v>City of Arcadia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Greg Gertach</v>
      </c>
    </row>
    <row r="86" spans="1:57" ht="12.9" customHeight="1">
      <c r="A86" s="1268" t="s">
        <v>2115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2504</v>
      </c>
      <c r="BE86" s="1183" t="str">
        <f>Application!O155</f>
        <v>City Manager</v>
      </c>
    </row>
    <row r="87" spans="1:57"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2505</v>
      </c>
      <c r="BE87" s="1183" t="str">
        <f>Application!O156</f>
        <v>Box 60021</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Arcadia</v>
      </c>
    </row>
    <row r="89" spans="1:57" ht="12.9" customHeight="1">
      <c r="A89" s="1830" t="s">
        <v>2116</v>
      </c>
      <c r="B89" s="1830"/>
      <c r="C89" s="1830"/>
      <c r="D89" s="1830"/>
      <c r="E89" s="1830"/>
      <c r="F89" s="1830"/>
      <c r="G89" s="1830"/>
      <c r="H89" s="1830"/>
      <c r="I89" s="1830"/>
      <c r="J89" s="1830"/>
      <c r="K89" s="1830"/>
      <c r="L89" s="1830"/>
      <c r="M89" s="1830"/>
      <c r="N89" s="1830"/>
      <c r="O89" s="1830"/>
      <c r="P89" s="1830"/>
      <c r="Q89" s="1830"/>
      <c r="R89" s="1830"/>
      <c r="S89" s="1830"/>
      <c r="T89" s="1830"/>
      <c r="U89" s="1830"/>
      <c r="V89" s="1830"/>
      <c r="W89" s="1830"/>
      <c r="X89" s="1830"/>
      <c r="Y89" s="1830"/>
      <c r="Z89" s="1830"/>
      <c r="AA89" s="1830"/>
      <c r="AB89" s="1830"/>
      <c r="AC89" s="1830"/>
      <c r="AD89" s="1830"/>
      <c r="AE89" s="1830"/>
      <c r="AF89" s="1830"/>
      <c r="AG89" s="1830"/>
      <c r="AH89" s="1830"/>
      <c r="AI89" s="1830"/>
      <c r="AJ89" s="1830"/>
      <c r="AK89" s="1830"/>
      <c r="AL89" s="1830"/>
      <c r="AM89" s="1830"/>
      <c r="AN89" s="1830"/>
      <c r="AO89" s="1830"/>
      <c r="AP89" s="1830"/>
      <c r="AQ89" s="1830"/>
      <c r="AR89" s="1830"/>
      <c r="AS89" s="1830"/>
      <c r="AT89" s="1830"/>
      <c r="AU89" s="17"/>
      <c r="AV89" s="17"/>
      <c r="AW89" s="17"/>
      <c r="AX89" s="17"/>
      <c r="AY89" s="17"/>
      <c r="AZ89" s="20"/>
      <c r="BD89" s="1181" t="s">
        <v>2507</v>
      </c>
      <c r="BE89" s="1183">
        <f>Application!O158</f>
        <v>91066</v>
      </c>
    </row>
    <row r="90" spans="1:57" ht="12.9" customHeight="1">
      <c r="A90" s="1830"/>
      <c r="B90" s="1830"/>
      <c r="C90" s="1830"/>
      <c r="D90" s="1830"/>
      <c r="E90" s="1830"/>
      <c r="F90" s="1830"/>
      <c r="G90" s="1830"/>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c r="AL90" s="1830"/>
      <c r="AM90" s="1830"/>
      <c r="AN90" s="1830"/>
      <c r="AO90" s="1830"/>
      <c r="AP90" s="1830"/>
      <c r="AQ90" s="1830"/>
      <c r="AR90" s="1830"/>
      <c r="AS90" s="1830"/>
      <c r="AT90" s="1830"/>
      <c r="AU90" s="17"/>
      <c r="AV90" s="17"/>
      <c r="AW90" s="17"/>
      <c r="AX90" s="17"/>
      <c r="AY90" s="17"/>
      <c r="AZ90" s="20"/>
      <c r="BD90" s="1182" t="s">
        <v>2508</v>
      </c>
      <c r="BE90" s="1183" t="str">
        <f>Application!H16</f>
        <v>Compass for Affordable Housing</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17190 Bernardo Center Dr., Suite 200</v>
      </c>
    </row>
    <row r="92" spans="1:57" ht="12.9" customHeight="1">
      <c r="A92" s="1809" t="s">
        <v>2117</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c r="BD92" s="1182" t="s">
        <v>2510</v>
      </c>
      <c r="BE92" s="1183" t="str">
        <f>Application!M243</f>
        <v>San Diego</v>
      </c>
    </row>
    <row r="93" spans="1:57" ht="12.9"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c r="BD93" s="1181" t="s">
        <v>2511</v>
      </c>
      <c r="BE93" s="1183" t="str">
        <f>Application!W243</f>
        <v>CA</v>
      </c>
    </row>
    <row r="94" spans="1:57" ht="12.9"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c r="BD94" s="1182" t="s">
        <v>2512</v>
      </c>
      <c r="BE94" s="1183">
        <f>Application!AC243</f>
        <v>92128</v>
      </c>
    </row>
    <row r="95" spans="1:57" ht="12.9"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c r="BD95" s="1181" t="s">
        <v>2513</v>
      </c>
      <c r="BE95" s="1183" t="str">
        <f>Application!M244</f>
        <v>Robin Martinez</v>
      </c>
    </row>
    <row r="96" spans="1:57" ht="12.9"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c r="BD96" s="1182" t="s">
        <v>2514</v>
      </c>
      <c r="BE96" s="1183" t="str">
        <f>Application!M246</f>
        <v>Robin@compassfah.org</v>
      </c>
    </row>
    <row r="97" spans="1:57" ht="12.9"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c r="BD97" s="1181" t="s">
        <v>2515</v>
      </c>
      <c r="BE97" s="1183" t="str">
        <f>Application!M257</f>
        <v>james@affirmedhousing.con</v>
      </c>
    </row>
    <row r="98" spans="1:57" ht="12.9"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c r="BD98" s="1182" t="s">
        <v>2516</v>
      </c>
      <c r="BE98" s="1183" t="str">
        <f>Application!M265</f>
        <v>Robin@compassfah.org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t="str">
        <f>Application!M273</f>
        <v>William@kingdomdevelopment.net</v>
      </c>
    </row>
    <row r="100" spans="1:57" ht="12.9" customHeight="1">
      <c r="A100" s="1810" t="s">
        <v>2118</v>
      </c>
      <c r="B100" s="1810"/>
      <c r="C100" s="1810"/>
      <c r="D100" s="1810"/>
      <c r="E100" s="1810"/>
      <c r="F100" s="1810"/>
      <c r="G100" s="1810"/>
      <c r="H100" s="1810"/>
      <c r="I100" s="1810"/>
      <c r="J100" s="1810"/>
      <c r="K100" s="1810"/>
      <c r="L100" s="1810"/>
      <c r="M100" s="1810"/>
      <c r="N100" s="1810"/>
      <c r="O100" s="1810"/>
      <c r="P100" s="1810"/>
      <c r="Q100" s="1810"/>
      <c r="R100" s="1810"/>
      <c r="S100" s="1810"/>
      <c r="T100" s="1810"/>
      <c r="U100" s="1810"/>
      <c r="V100" s="1810"/>
      <c r="W100" s="1810"/>
      <c r="X100" s="1810"/>
      <c r="Y100" s="1810"/>
      <c r="Z100" s="1810"/>
      <c r="AA100" s="1810"/>
      <c r="AB100" s="1810"/>
      <c r="AC100" s="1810"/>
      <c r="AD100" s="1810"/>
      <c r="AE100" s="1810"/>
      <c r="AF100" s="1810"/>
      <c r="AG100" s="1810"/>
      <c r="AH100" s="1810"/>
      <c r="AI100" s="1810"/>
      <c r="AJ100" s="1810"/>
      <c r="AK100" s="1810"/>
      <c r="AL100" s="1810"/>
      <c r="AM100" s="1810"/>
      <c r="AN100" s="1810"/>
      <c r="AO100" s="1810"/>
      <c r="AP100" s="1810"/>
      <c r="AQ100" s="1810"/>
      <c r="AR100" s="1810"/>
      <c r="AS100" s="1810"/>
      <c r="AT100" s="1810"/>
      <c r="AU100" s="20"/>
      <c r="AV100" s="20"/>
      <c r="AW100" s="20"/>
      <c r="AX100" s="20"/>
      <c r="AY100" s="20"/>
      <c r="AZ100" s="20"/>
      <c r="BD100" s="1182" t="s">
        <v>2518</v>
      </c>
      <c r="BE100" s="1183" t="str">
        <f>Application!L288</f>
        <v>martin@affirmedhousing.com</v>
      </c>
    </row>
    <row r="101" spans="1:57" ht="12.9" customHeight="1">
      <c r="A101" s="1810"/>
      <c r="B101" s="1810"/>
      <c r="C101" s="1810"/>
      <c r="D101" s="1810"/>
      <c r="E101" s="1810"/>
      <c r="F101" s="1810"/>
      <c r="G101" s="1810"/>
      <c r="H101" s="1810"/>
      <c r="I101" s="1810"/>
      <c r="J101" s="1810"/>
      <c r="K101" s="1810"/>
      <c r="L101" s="1810"/>
      <c r="M101" s="1810"/>
      <c r="N101" s="1810"/>
      <c r="O101" s="1810"/>
      <c r="P101" s="1810"/>
      <c r="Q101" s="1810"/>
      <c r="R101" s="1810"/>
      <c r="S101" s="1810"/>
      <c r="T101" s="1810"/>
      <c r="U101" s="1810"/>
      <c r="V101" s="1810"/>
      <c r="W101" s="1810"/>
      <c r="X101" s="1810"/>
      <c r="Y101" s="1810"/>
      <c r="Z101" s="1810"/>
      <c r="AA101" s="1810"/>
      <c r="AB101" s="1810"/>
      <c r="AC101" s="1810"/>
      <c r="AD101" s="1810"/>
      <c r="AE101" s="1810"/>
      <c r="AF101" s="1810"/>
      <c r="AG101" s="1810"/>
      <c r="AH101" s="1810"/>
      <c r="AI101" s="1810"/>
      <c r="AJ101" s="1810"/>
      <c r="AK101" s="1810"/>
      <c r="AL101" s="1810"/>
      <c r="AM101" s="1810"/>
      <c r="AN101" s="1810"/>
      <c r="AO101" s="1810"/>
      <c r="AP101" s="1810"/>
      <c r="AQ101" s="1810"/>
      <c r="AR101" s="1810"/>
      <c r="AS101" s="1810"/>
      <c r="AT101" s="1810"/>
      <c r="AU101" s="20"/>
      <c r="AV101" s="20"/>
      <c r="AW101" s="20"/>
      <c r="AX101" s="20"/>
      <c r="AY101" s="20"/>
      <c r="AZ101" s="20"/>
      <c r="BD101" s="3" t="s">
        <v>2523</v>
      </c>
      <c r="BE101">
        <f>'Sources and Uses Budget'!C105</f>
        <v>63865236</v>
      </c>
    </row>
    <row r="102" spans="1:57" ht="12.9" customHeight="1">
      <c r="A102" s="1810"/>
      <c r="B102" s="1810"/>
      <c r="C102" s="1810"/>
      <c r="D102" s="1810"/>
      <c r="E102" s="1810"/>
      <c r="F102" s="1810"/>
      <c r="G102" s="1810"/>
      <c r="H102" s="1810"/>
      <c r="I102" s="1810"/>
      <c r="J102" s="1810"/>
      <c r="K102" s="1810"/>
      <c r="L102" s="1810"/>
      <c r="M102" s="1810"/>
      <c r="N102" s="1810"/>
      <c r="O102" s="1810"/>
      <c r="P102" s="1810"/>
      <c r="Q102" s="1810"/>
      <c r="R102" s="1810"/>
      <c r="S102" s="1810"/>
      <c r="T102" s="1810"/>
      <c r="U102" s="1810"/>
      <c r="V102" s="1810"/>
      <c r="W102" s="1810"/>
      <c r="X102" s="1810"/>
      <c r="Y102" s="1810"/>
      <c r="Z102" s="1810"/>
      <c r="AA102" s="1810"/>
      <c r="AB102" s="1810"/>
      <c r="AC102" s="1810"/>
      <c r="AD102" s="1810"/>
      <c r="AE102" s="1810"/>
      <c r="AF102" s="1810"/>
      <c r="AG102" s="1810"/>
      <c r="AH102" s="1810"/>
      <c r="AI102" s="1810"/>
      <c r="AJ102" s="1810"/>
      <c r="AK102" s="1810"/>
      <c r="AL102" s="1810"/>
      <c r="AM102" s="1810"/>
      <c r="AN102" s="1810"/>
      <c r="AO102" s="1810"/>
      <c r="AP102" s="1810"/>
      <c r="AQ102" s="1810"/>
      <c r="AR102" s="1810"/>
      <c r="AS102" s="1810"/>
      <c r="AT102" s="1810"/>
      <c r="AU102" s="20"/>
      <c r="AV102" s="20"/>
      <c r="AW102" s="20"/>
      <c r="AX102" s="20"/>
      <c r="AY102" s="20"/>
      <c r="AZ102" s="20"/>
      <c r="BD102" s="3" t="s">
        <v>2524</v>
      </c>
      <c r="BE102" t="b">
        <f>T197="Yes"</f>
        <v>0</v>
      </c>
    </row>
    <row r="103" spans="1:57" ht="12.9" customHeight="1">
      <c r="A103" s="1810"/>
      <c r="B103" s="1810"/>
      <c r="C103" s="1810"/>
      <c r="D103" s="1810"/>
      <c r="E103" s="1810"/>
      <c r="F103" s="1810"/>
      <c r="G103" s="1810"/>
      <c r="H103" s="1810"/>
      <c r="I103" s="1810"/>
      <c r="J103" s="1810"/>
      <c r="K103" s="1810"/>
      <c r="L103" s="1810"/>
      <c r="M103" s="1810"/>
      <c r="N103" s="1810"/>
      <c r="O103" s="1810"/>
      <c r="P103" s="1810"/>
      <c r="Q103" s="1810"/>
      <c r="R103" s="1810"/>
      <c r="S103" s="1810"/>
      <c r="T103" s="1810"/>
      <c r="U103" s="1810"/>
      <c r="V103" s="1810"/>
      <c r="W103" s="1810"/>
      <c r="X103" s="1810"/>
      <c r="Y103" s="1810"/>
      <c r="Z103" s="1810"/>
      <c r="AA103" s="1810"/>
      <c r="AB103" s="1810"/>
      <c r="AC103" s="1810"/>
      <c r="AD103" s="1810"/>
      <c r="AE103" s="1810"/>
      <c r="AF103" s="1810"/>
      <c r="AG103" s="1810"/>
      <c r="AH103" s="1810"/>
      <c r="AI103" s="1810"/>
      <c r="AJ103" s="1810"/>
      <c r="AK103" s="1810"/>
      <c r="AL103" s="1810"/>
      <c r="AM103" s="1810"/>
      <c r="AN103" s="1810"/>
      <c r="AO103" s="1810"/>
      <c r="AP103" s="1810"/>
      <c r="AQ103" s="1810"/>
      <c r="AR103" s="1810"/>
      <c r="AS103" s="1810"/>
      <c r="AT103" s="1810"/>
      <c r="AU103" s="20"/>
      <c r="AV103" s="20"/>
      <c r="AW103" s="20"/>
      <c r="AX103" s="20"/>
      <c r="AY103" s="20"/>
      <c r="BD103" t="s">
        <v>2128</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 customHeight="1">
      <c r="A105" s="1810" t="s">
        <v>2119</v>
      </c>
      <c r="B105" s="1810"/>
      <c r="C105" s="1810"/>
      <c r="D105" s="1810"/>
      <c r="E105" s="1810"/>
      <c r="F105" s="1810"/>
      <c r="G105" s="1810"/>
      <c r="H105" s="1810"/>
      <c r="I105" s="1810"/>
      <c r="J105" s="1810"/>
      <c r="K105" s="1810"/>
      <c r="L105" s="1810"/>
      <c r="M105" s="1810"/>
      <c r="N105" s="1810"/>
      <c r="O105" s="1810"/>
      <c r="P105" s="1810"/>
      <c r="Q105" s="1810"/>
      <c r="R105" s="1810"/>
      <c r="S105" s="1810"/>
      <c r="T105" s="1810"/>
      <c r="U105" s="1810"/>
      <c r="V105" s="1810"/>
      <c r="W105" s="1810"/>
      <c r="X105" s="1810"/>
      <c r="Y105" s="1810"/>
      <c r="Z105" s="1810"/>
      <c r="AA105" s="1810"/>
      <c r="AB105" s="1810"/>
      <c r="AC105" s="1810"/>
      <c r="AD105" s="1810"/>
      <c r="AE105" s="1810"/>
      <c r="AF105" s="1810"/>
      <c r="AG105" s="1810"/>
      <c r="AH105" s="1810"/>
      <c r="AI105" s="1810"/>
      <c r="AJ105" s="1810"/>
      <c r="AK105" s="1810"/>
      <c r="AL105" s="1810"/>
      <c r="AM105" s="1810"/>
      <c r="AN105" s="1810"/>
      <c r="AO105" s="1810"/>
      <c r="AP105" s="1810"/>
      <c r="AQ105" s="1810"/>
      <c r="AR105" s="1810"/>
      <c r="AS105" s="1810"/>
      <c r="AT105" s="1810"/>
      <c r="AU105" s="20"/>
      <c r="AV105" s="20"/>
      <c r="AW105" s="20"/>
      <c r="AX105" s="20"/>
      <c r="AY105" s="20"/>
      <c r="BD105" s="3" t="s">
        <v>2540</v>
      </c>
      <c r="BE105" s="1183" t="b">
        <f>V224="Yes"</f>
        <v>0</v>
      </c>
    </row>
    <row r="106" spans="1:57" ht="12.9" customHeight="1">
      <c r="A106" s="1810"/>
      <c r="B106" s="1810"/>
      <c r="C106" s="1810"/>
      <c r="D106" s="1810"/>
      <c r="E106" s="1810"/>
      <c r="F106" s="1810"/>
      <c r="G106" s="1810"/>
      <c r="H106" s="1810"/>
      <c r="I106" s="1810"/>
      <c r="J106" s="1810"/>
      <c r="K106" s="1810"/>
      <c r="L106" s="1810"/>
      <c r="M106" s="1810"/>
      <c r="N106" s="1810"/>
      <c r="O106" s="1810"/>
      <c r="P106" s="1810"/>
      <c r="Q106" s="1810"/>
      <c r="R106" s="1810"/>
      <c r="S106" s="1810"/>
      <c r="T106" s="1810"/>
      <c r="U106" s="1810"/>
      <c r="V106" s="1810"/>
      <c r="W106" s="1810"/>
      <c r="X106" s="1810"/>
      <c r="Y106" s="1810"/>
      <c r="Z106" s="1810"/>
      <c r="AA106" s="1810"/>
      <c r="AB106" s="1810"/>
      <c r="AC106" s="1810"/>
      <c r="AD106" s="1810"/>
      <c r="AE106" s="1810"/>
      <c r="AF106" s="1810"/>
      <c r="AG106" s="1810"/>
      <c r="AH106" s="1810"/>
      <c r="AI106" s="1810"/>
      <c r="AJ106" s="1810"/>
      <c r="AK106" s="1810"/>
      <c r="AL106" s="1810"/>
      <c r="AM106" s="1810"/>
      <c r="AN106" s="1810"/>
      <c r="AO106" s="1810"/>
      <c r="AP106" s="1810"/>
      <c r="AQ106" s="1810"/>
      <c r="AR106" s="1810"/>
      <c r="AS106" s="1810"/>
      <c r="AT106" s="1810"/>
      <c r="AU106" s="20"/>
      <c r="AV106" s="20"/>
      <c r="AW106" s="20"/>
      <c r="AX106" s="20"/>
      <c r="AY106" s="20"/>
      <c r="BD106" s="3" t="s">
        <v>2541</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2.9"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1</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811"/>
      <c r="H113" s="1811"/>
      <c r="I113" s="3" t="s">
        <v>182</v>
      </c>
      <c r="L113" s="1811"/>
      <c r="M113" s="1811"/>
      <c r="N113" s="1811"/>
      <c r="O113" s="1811"/>
      <c r="P113" s="1820" t="s">
        <v>2604</v>
      </c>
      <c r="Q113" s="1820"/>
      <c r="R113" s="1820"/>
      <c r="S113" s="182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24"/>
      <c r="D115" s="1824"/>
      <c r="E115" s="1824"/>
      <c r="F115" s="1824"/>
      <c r="G115" s="1824"/>
      <c r="H115" s="1824"/>
      <c r="I115" s="1824"/>
      <c r="J115" s="1824"/>
      <c r="K115" s="182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628</v>
      </c>
      <c r="Y117" s="1811"/>
      <c r="Z117" s="1811"/>
      <c r="AA117" s="1811"/>
      <c r="AB117" s="1811"/>
      <c r="AC117" s="1811"/>
      <c r="AD117" s="1811"/>
      <c r="AE117" s="1811"/>
      <c r="AF117" s="1811"/>
      <c r="AG117" s="1811"/>
      <c r="AH117" s="1811"/>
      <c r="AI117" s="1811"/>
      <c r="AJ117" s="1811"/>
      <c r="AK117" s="1811"/>
    </row>
    <row r="118" spans="1:117" ht="12.9" customHeight="1">
      <c r="X118" s="3"/>
      <c r="Y118" s="3"/>
      <c r="Z118" s="3" t="s">
        <v>629</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811"/>
      <c r="Z120" s="1811"/>
      <c r="AA120" s="1811"/>
      <c r="AB120" s="1811"/>
      <c r="AC120" s="1811"/>
      <c r="AD120" s="1811"/>
      <c r="AE120" s="1811"/>
      <c r="AF120" s="1811"/>
      <c r="AG120" s="1811"/>
      <c r="AH120" s="1811"/>
      <c r="AI120" s="1811"/>
      <c r="AJ120" s="1811"/>
      <c r="AK120" s="1811"/>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8" t="s">
        <v>469</v>
      </c>
      <c r="CV122" s="1699"/>
      <c r="CW122" s="14"/>
      <c r="CX122" s="14" t="s">
        <v>634</v>
      </c>
      <c r="CY122" s="14"/>
      <c r="CZ122" s="14"/>
      <c r="DA122" s="14"/>
      <c r="DB122" s="14"/>
      <c r="DC122" s="14"/>
      <c r="DD122" s="14"/>
      <c r="DE122" s="14"/>
      <c r="DF122" s="14"/>
      <c r="DG122" s="1695" t="str">
        <f>T189</f>
        <v>Los Angeles</v>
      </c>
      <c r="DH122" s="1696"/>
      <c r="DI122" s="1696"/>
      <c r="DJ122" s="1696"/>
      <c r="DK122" s="1696"/>
      <c r="DL122" s="1696"/>
      <c r="DM122" s="1697"/>
    </row>
    <row r="123" spans="1:117" ht="12.9" customHeight="1">
      <c r="A123" s="3"/>
      <c r="B123" s="3"/>
      <c r="T123" s="3"/>
      <c r="U123" s="3"/>
      <c r="V123" s="3"/>
      <c r="W123" s="3"/>
      <c r="X123" s="3"/>
      <c r="Y123" s="1811"/>
      <c r="Z123" s="1811"/>
      <c r="AA123" s="1811"/>
      <c r="AB123" s="1811"/>
      <c r="AC123" s="1811"/>
      <c r="AD123" s="1811"/>
      <c r="AE123" s="1811"/>
      <c r="AF123" s="1811"/>
      <c r="AG123" s="1811"/>
      <c r="AH123" s="1811"/>
      <c r="AI123" s="1811"/>
      <c r="AJ123" s="1811"/>
      <c r="AK123" s="1811"/>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 customHeight="1">
      <c r="A150" s="3"/>
      <c r="B150" s="3"/>
      <c r="D150" s="3"/>
      <c r="E150" s="3"/>
      <c r="F150" s="1346"/>
      <c r="G150" s="1346"/>
      <c r="H150" s="1346"/>
      <c r="I150" s="1346"/>
      <c r="J150" s="1346"/>
      <c r="K150" s="1346"/>
      <c r="L150" s="1346"/>
      <c r="M150" s="1346"/>
      <c r="N150" s="1346"/>
      <c r="O150" s="1346"/>
      <c r="P150" s="1346"/>
      <c r="Q150" s="1346"/>
      <c r="R150" s="1346"/>
      <c r="S150" s="1346"/>
      <c r="T150" s="134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 customHeight="1">
      <c r="BM152">
        <v>4</v>
      </c>
      <c r="BN152" s="3" t="s">
        <v>2393</v>
      </c>
    </row>
    <row r="153" spans="1:108" ht="12.9" customHeight="1">
      <c r="D153" t="s">
        <v>645</v>
      </c>
      <c r="O153" s="1467" t="s">
        <v>2721</v>
      </c>
      <c r="P153" s="1505"/>
      <c r="Q153" s="1505"/>
      <c r="R153" s="1505"/>
      <c r="S153" s="1505"/>
      <c r="T153" s="1505"/>
      <c r="U153" s="1505"/>
      <c r="V153" s="1505"/>
      <c r="W153" s="1505"/>
      <c r="X153" s="1505"/>
      <c r="Y153" s="1505"/>
      <c r="Z153" s="1505"/>
      <c r="AA153" s="1505"/>
      <c r="AB153" s="1505"/>
      <c r="AC153" s="1505"/>
      <c r="AD153" s="1505"/>
      <c r="AE153" s="1505"/>
      <c r="AF153" s="1505"/>
      <c r="AG153" s="1505"/>
      <c r="AH153" s="1505"/>
      <c r="BM153">
        <v>5</v>
      </c>
      <c r="BN153" s="3" t="s">
        <v>2395</v>
      </c>
      <c r="CR153" s="31" t="s">
        <v>2633</v>
      </c>
      <c r="CS153" s="32"/>
      <c r="CT153" s="32"/>
      <c r="CU153" s="32"/>
      <c r="CV153" s="32"/>
      <c r="CW153" s="32"/>
      <c r="CX153" s="14"/>
      <c r="CY153" s="31" t="s">
        <v>2634</v>
      </c>
      <c r="CZ153" s="14"/>
      <c r="DA153" s="14"/>
      <c r="DB153" s="14"/>
      <c r="DC153" s="14"/>
      <c r="DD153" s="14"/>
    </row>
    <row r="154" spans="1:108" ht="12.9" customHeight="1">
      <c r="D154" s="303" t="s">
        <v>439</v>
      </c>
      <c r="O154" s="1442" t="s">
        <v>2779</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2396</v>
      </c>
      <c r="CR154" s="31"/>
      <c r="CS154" s="32"/>
      <c r="CT154" s="32"/>
      <c r="CU154" s="32"/>
      <c r="CV154" s="32"/>
      <c r="CW154" s="32"/>
      <c r="CX154" s="14"/>
      <c r="CY154" s="31"/>
      <c r="CZ154" s="14"/>
      <c r="DA154" s="14"/>
      <c r="DB154" s="14"/>
      <c r="DC154" s="14"/>
      <c r="DD154" s="14"/>
    </row>
    <row r="155" spans="1:108" ht="12.9" customHeight="1">
      <c r="D155" s="8" t="s">
        <v>441</v>
      </c>
      <c r="F155" s="8"/>
      <c r="G155" s="8"/>
      <c r="H155" s="8"/>
      <c r="I155" s="8"/>
      <c r="J155" s="8"/>
      <c r="K155" s="8"/>
      <c r="L155" s="8"/>
      <c r="M155" s="8"/>
      <c r="N155" s="8"/>
      <c r="O155" s="1831" t="s">
        <v>440</v>
      </c>
      <c r="P155" s="1831"/>
      <c r="Q155" s="1831"/>
      <c r="R155" s="1831"/>
      <c r="S155" s="1831"/>
      <c r="T155" s="1831"/>
      <c r="U155" s="1831"/>
      <c r="V155" s="1831"/>
      <c r="W155" s="1831"/>
      <c r="X155" s="1831"/>
      <c r="Y155" s="1831"/>
      <c r="Z155" s="1831"/>
      <c r="AA155" s="1831"/>
      <c r="AB155" s="1831"/>
      <c r="AC155" s="1831"/>
      <c r="AD155" s="1831"/>
      <c r="AE155" s="1831"/>
      <c r="AF155" s="1831"/>
      <c r="AG155" s="1831"/>
      <c r="AH155" s="1831"/>
      <c r="BM155">
        <v>7</v>
      </c>
      <c r="BN155" s="3" t="s">
        <v>591</v>
      </c>
      <c r="CR155" s="31"/>
      <c r="CS155" s="32"/>
      <c r="CT155" s="32"/>
      <c r="CU155" s="32"/>
      <c r="CV155" s="32"/>
      <c r="CW155" s="32"/>
      <c r="CX155" s="14"/>
      <c r="CY155" s="31"/>
      <c r="CZ155" s="14"/>
      <c r="DA155" s="14"/>
      <c r="DB155" s="14"/>
      <c r="DC155" s="14"/>
      <c r="DD155" s="14"/>
    </row>
    <row r="156" spans="1:108" ht="12.9" customHeight="1">
      <c r="D156" t="s">
        <v>313</v>
      </c>
      <c r="O156" s="1467" t="s">
        <v>2780</v>
      </c>
      <c r="P156" s="1468"/>
      <c r="Q156" s="1468"/>
      <c r="R156" s="1468"/>
      <c r="S156" s="1468"/>
      <c r="T156" s="1468"/>
      <c r="U156" s="1468"/>
      <c r="V156" s="1468"/>
      <c r="W156" s="1468"/>
      <c r="X156" s="1468"/>
      <c r="Y156" s="1468"/>
      <c r="Z156" s="1468"/>
      <c r="AA156" s="1468"/>
      <c r="AB156" s="1468"/>
      <c r="AC156" s="1468"/>
      <c r="AD156" s="1468"/>
      <c r="AE156" s="1468"/>
      <c r="AF156" s="1468"/>
      <c r="AG156" s="1468"/>
      <c r="AH156" s="1468"/>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67" t="s">
        <v>2644</v>
      </c>
      <c r="P157" s="1505"/>
      <c r="Q157" s="1505"/>
      <c r="R157" s="1505"/>
      <c r="S157" s="1505"/>
      <c r="T157" s="1505"/>
      <c r="U157" s="1505"/>
      <c r="V157" s="1505"/>
      <c r="W157" s="1505"/>
      <c r="X157" s="1505"/>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814">
        <v>91066</v>
      </c>
      <c r="P158" s="1814"/>
      <c r="Q158" s="1814"/>
      <c r="R158" s="181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10" t="s">
        <v>2781</v>
      </c>
      <c r="P159" s="1829"/>
      <c r="Q159" s="1829"/>
      <c r="R159" s="1829"/>
      <c r="S159" s="1829"/>
      <c r="T159" s="1829"/>
      <c r="V159" s="97" t="s">
        <v>271</v>
      </c>
      <c r="W159" s="1815"/>
      <c r="X159" s="181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 customHeight="1">
      <c r="D160" t="s">
        <v>317</v>
      </c>
      <c r="O160" s="1510" t="s">
        <v>591</v>
      </c>
      <c r="P160" s="1829"/>
      <c r="Q160" s="1829"/>
      <c r="R160" s="1829"/>
      <c r="S160" s="1829"/>
      <c r="T160" s="1829"/>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 customHeight="1">
      <c r="D161" t="s">
        <v>318</v>
      </c>
      <c r="O161" s="1798" t="s">
        <v>591</v>
      </c>
      <c r="P161" s="1798"/>
      <c r="Q161" s="1798"/>
      <c r="R161" s="1798"/>
      <c r="S161" s="1798"/>
      <c r="T161" s="1798"/>
      <c r="U161" s="1798"/>
      <c r="V161" s="1798"/>
      <c r="W161" s="1798"/>
      <c r="X161" s="1798"/>
      <c r="Y161" s="1798"/>
      <c r="Z161" s="1798"/>
      <c r="AA161" s="1798"/>
      <c r="AB161" s="1798"/>
      <c r="AC161" s="1798"/>
      <c r="AD161" s="1798"/>
      <c r="AE161" s="1798"/>
      <c r="AF161" s="1798"/>
      <c r="AG161" s="1798"/>
      <c r="AH161" s="179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 customHeight="1">
      <c r="C164" s="27"/>
      <c r="D164" s="1825" t="s">
        <v>2169</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 customHeight="1">
      <c r="A169" s="1509" t="s">
        <v>539</v>
      </c>
      <c r="B169" s="1509"/>
      <c r="C169" s="1509"/>
      <c r="D169" s="1509"/>
      <c r="E169" s="1509"/>
      <c r="F169" s="1509"/>
      <c r="G169" s="1509"/>
      <c r="H169" s="1509"/>
      <c r="I169" s="1509"/>
      <c r="J169" s="1509"/>
      <c r="K169" s="1509"/>
      <c r="L169" s="1509"/>
      <c r="M169" s="1509"/>
      <c r="N169" s="1509"/>
      <c r="O169" s="1509"/>
      <c r="P169" s="1509"/>
      <c r="Q169" s="1509"/>
      <c r="R169" s="1509"/>
      <c r="S169" s="1509"/>
      <c r="T169" s="1509"/>
      <c r="U169" s="1509"/>
      <c r="V169" s="1509"/>
      <c r="W169" s="1509"/>
      <c r="X169" s="1509"/>
      <c r="Y169" s="1509"/>
      <c r="Z169" s="1509"/>
      <c r="AA169" s="1509"/>
      <c r="AB169" s="1509"/>
      <c r="AC169" s="1509"/>
      <c r="AD169" s="1509"/>
      <c r="AE169" s="1509"/>
      <c r="AF169" s="1509"/>
      <c r="AG169" s="1509"/>
      <c r="AH169" s="1509"/>
      <c r="AI169" s="1509"/>
      <c r="AJ169" s="1509"/>
      <c r="AK169" s="1509"/>
      <c r="AL169" s="1509"/>
      <c r="AM169" s="1509"/>
      <c r="AN169" s="1509"/>
      <c r="AO169" s="1509"/>
      <c r="AP169" s="1509"/>
      <c r="AQ169" s="1509"/>
      <c r="AR169" s="1509"/>
      <c r="AS169" s="1509"/>
      <c r="AT169" s="150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 customHeight="1">
      <c r="A170" s="1509"/>
      <c r="B170" s="1509"/>
      <c r="C170" s="1509"/>
      <c r="D170" s="1509"/>
      <c r="E170" s="1509"/>
      <c r="F170" s="1509"/>
      <c r="G170" s="1509"/>
      <c r="H170" s="1509"/>
      <c r="I170" s="1509"/>
      <c r="J170" s="1509"/>
      <c r="K170" s="1509"/>
      <c r="L170" s="1509"/>
      <c r="M170" s="1509"/>
      <c r="N170" s="1509"/>
      <c r="O170" s="1509"/>
      <c r="P170" s="1509"/>
      <c r="Q170" s="1509"/>
      <c r="R170" s="1509"/>
      <c r="S170" s="1509"/>
      <c r="T170" s="1509"/>
      <c r="U170" s="1509"/>
      <c r="V170" s="1509"/>
      <c r="W170" s="1509"/>
      <c r="X170" s="1509"/>
      <c r="Y170" s="1509"/>
      <c r="Z170" s="1509"/>
      <c r="AA170" s="1509"/>
      <c r="AB170" s="1509"/>
      <c r="AC170" s="1509"/>
      <c r="AD170" s="1509"/>
      <c r="AE170" s="1509"/>
      <c r="AF170" s="1509"/>
      <c r="AG170" s="1509"/>
      <c r="AH170" s="1509"/>
      <c r="AI170" s="1509"/>
      <c r="AJ170" s="1509"/>
      <c r="AK170" s="1509"/>
      <c r="AL170" s="1509"/>
      <c r="AM170" s="1509"/>
      <c r="AN170" s="1509"/>
      <c r="AO170" s="1509"/>
      <c r="AP170" s="1509"/>
      <c r="AQ170" s="1509"/>
      <c r="AR170" s="1509"/>
      <c r="AS170" s="1509"/>
      <c r="AT170" s="150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 customHeight="1">
      <c r="C173" s="24"/>
      <c r="D173" t="s">
        <v>321</v>
      </c>
      <c r="J173" s="1821" t="s">
        <v>371</v>
      </c>
      <c r="K173" s="1821"/>
      <c r="L173" s="1821"/>
      <c r="M173" s="1821"/>
      <c r="N173" s="1821"/>
      <c r="O173" s="1821"/>
      <c r="P173" s="1821"/>
      <c r="Q173" s="1821"/>
      <c r="R173" s="1821"/>
      <c r="S173" s="1821"/>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 customHeight="1">
      <c r="C174" s="24"/>
      <c r="D174" s="3" t="s">
        <v>1201</v>
      </c>
      <c r="J174" s="1468" t="s">
        <v>2055</v>
      </c>
      <c r="K174" s="1468"/>
      <c r="L174" s="1468"/>
      <c r="M174" s="1468"/>
      <c r="N174" s="1468"/>
      <c r="O174" s="1468"/>
      <c r="P174" s="1468"/>
      <c r="Q174" s="1468"/>
      <c r="R174" s="1468"/>
      <c r="S174" s="1468"/>
      <c r="T174" s="1468"/>
      <c r="U174" s="1468"/>
      <c r="V174" s="1468"/>
      <c r="W174" s="1468"/>
      <c r="X174" s="1468"/>
      <c r="Y174" s="1468"/>
      <c r="Z174" s="1468"/>
      <c r="AA174" s="1468"/>
      <c r="AB174" s="1468"/>
      <c r="BB174" t="s">
        <v>1941</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 customHeight="1">
      <c r="C175" s="8"/>
      <c r="D175" s="3" t="s">
        <v>322</v>
      </c>
      <c r="O175" s="27"/>
      <c r="U175" s="1828" t="s">
        <v>2645</v>
      </c>
      <c r="V175" s="1480"/>
      <c r="BB175" t="s">
        <v>1909</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 customHeight="1">
      <c r="C176" s="8"/>
      <c r="D176" s="26"/>
      <c r="E176" t="s">
        <v>304</v>
      </c>
      <c r="O176" s="27"/>
      <c r="P176" t="s">
        <v>2034</v>
      </c>
      <c r="T176" s="27" t="s">
        <v>305</v>
      </c>
      <c r="U176" s="303"/>
      <c r="V176" s="303"/>
      <c r="W176" s="1" t="s">
        <v>306</v>
      </c>
      <c r="X176" s="1807" t="s">
        <v>591</v>
      </c>
      <c r="Y176" s="1808"/>
      <c r="BB176" t="s">
        <v>1942</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 customHeight="1">
      <c r="C177" s="24"/>
      <c r="D177" t="s">
        <v>249</v>
      </c>
      <c r="R177" s="1344" t="s">
        <v>669</v>
      </c>
      <c r="S177" s="1344"/>
      <c r="BB177" t="s">
        <v>2166</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 customHeight="1">
      <c r="C178" s="24"/>
      <c r="D178" s="3" t="s">
        <v>1202</v>
      </c>
      <c r="AA178" t="s">
        <v>2034</v>
      </c>
      <c r="AE178" s="27" t="s">
        <v>305</v>
      </c>
      <c r="AF178" s="1806" t="s">
        <v>591</v>
      </c>
      <c r="AG178" s="1806"/>
      <c r="AH178" s="1" t="s">
        <v>306</v>
      </c>
      <c r="AI178" s="1777" t="s">
        <v>591</v>
      </c>
      <c r="AJ178" s="1777"/>
      <c r="AK178" s="1777"/>
      <c r="BB178" t="s">
        <v>2167</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 customHeight="1">
      <c r="C180" s="24"/>
      <c r="D180" s="3" t="s">
        <v>2629</v>
      </c>
      <c r="X180" s="1344" t="s">
        <v>669</v>
      </c>
      <c r="Y180" s="134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 customHeight="1">
      <c r="C184" s="21"/>
      <c r="D184" t="s">
        <v>578</v>
      </c>
      <c r="I184" s="1474" t="str">
        <f>H18</f>
        <v>Oak &amp; Ivy</v>
      </c>
      <c r="J184" s="1474"/>
      <c r="K184" s="1474"/>
      <c r="L184" s="1474"/>
      <c r="M184" s="1474"/>
      <c r="N184" s="1474"/>
      <c r="O184" s="1474"/>
      <c r="P184" s="1474"/>
      <c r="Q184" s="1474"/>
      <c r="R184" s="1474"/>
      <c r="S184" s="1474"/>
      <c r="T184" s="1474"/>
      <c r="U184" s="1474"/>
      <c r="V184" s="1474"/>
      <c r="W184" s="1474"/>
      <c r="X184" s="1474"/>
      <c r="Y184" s="1474"/>
      <c r="Z184" s="1474"/>
      <c r="AA184" s="1474"/>
      <c r="AB184" s="1474"/>
      <c r="AC184" s="1474"/>
      <c r="AD184" s="1474"/>
      <c r="AE184" s="147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 customHeight="1">
      <c r="C185" s="21"/>
      <c r="D185" t="s">
        <v>579</v>
      </c>
      <c r="I185" s="1442" t="s">
        <v>2646</v>
      </c>
      <c r="J185" s="1485"/>
      <c r="K185" s="1485"/>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 customHeight="1">
      <c r="C187" s="21"/>
      <c r="E187" s="1763"/>
      <c r="F187" s="1763"/>
      <c r="G187" s="1763"/>
      <c r="H187" s="1763"/>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 customHeight="1">
      <c r="C188" s="21"/>
      <c r="E188" s="1764"/>
      <c r="F188" s="1764"/>
      <c r="G188" s="1764"/>
      <c r="H188" s="1764"/>
      <c r="I188" s="1764"/>
      <c r="J188" s="1764"/>
      <c r="K188" s="1764"/>
      <c r="L188" s="1764"/>
      <c r="M188" s="1764"/>
      <c r="N188" s="1764"/>
      <c r="O188" s="1764"/>
      <c r="P188" s="1764"/>
      <c r="Q188" s="1764"/>
      <c r="R188" s="1764"/>
      <c r="S188" s="1764"/>
      <c r="T188" s="1764"/>
      <c r="U188" s="1764"/>
      <c r="V188" s="1764"/>
      <c r="W188" s="1764"/>
      <c r="X188" s="1764"/>
      <c r="Y188" s="1764"/>
      <c r="Z188" s="1764"/>
      <c r="AA188" s="1764"/>
      <c r="AB188" s="1764"/>
      <c r="AC188" s="1764"/>
      <c r="AD188" s="1764"/>
      <c r="AE188" s="1764"/>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 customHeight="1">
      <c r="C189" s="21"/>
      <c r="D189" t="s">
        <v>580</v>
      </c>
      <c r="I189" s="1467" t="s">
        <v>2644</v>
      </c>
      <c r="J189" s="1468"/>
      <c r="K189" s="1468"/>
      <c r="L189" s="1468"/>
      <c r="M189" s="1468"/>
      <c r="N189" s="1468"/>
      <c r="O189" s="1468"/>
      <c r="P189" s="1468"/>
      <c r="Q189" t="s">
        <v>582</v>
      </c>
      <c r="T189" s="1468" t="s">
        <v>494</v>
      </c>
      <c r="U189" s="1468"/>
      <c r="V189" s="1468"/>
      <c r="W189" s="1468"/>
      <c r="X189" s="1468"/>
      <c r="Y189" s="1468"/>
      <c r="Z189" s="1468"/>
      <c r="AA189" s="1468"/>
      <c r="AB189" s="1468"/>
      <c r="AC189" s="1468"/>
      <c r="AD189" s="1468"/>
      <c r="AE189" s="146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 customHeight="1">
      <c r="C190" s="21"/>
      <c r="D190" t="s">
        <v>583</v>
      </c>
      <c r="I190" s="1485">
        <v>91006</v>
      </c>
      <c r="J190" s="1485"/>
      <c r="K190" s="1485"/>
      <c r="L190" s="1485"/>
      <c r="M190" s="1485"/>
      <c r="N190" s="1485"/>
      <c r="O190" t="s">
        <v>585</v>
      </c>
      <c r="T190" s="1812">
        <v>4314</v>
      </c>
      <c r="U190" s="1812"/>
      <c r="V190" s="1812"/>
      <c r="W190" s="1812"/>
      <c r="X190" s="1812"/>
      <c r="Y190" s="1812"/>
      <c r="Z190" s="1812"/>
      <c r="AA190" s="1812"/>
      <c r="AB190" s="1812"/>
      <c r="AC190" s="1812"/>
      <c r="AD190" s="1812"/>
      <c r="AE190" s="1812"/>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 customHeight="1">
      <c r="C191" s="21"/>
      <c r="D191" t="s">
        <v>462</v>
      </c>
      <c r="N191" s="1780" t="s">
        <v>2722</v>
      </c>
      <c r="O191" s="1763"/>
      <c r="P191" s="1763"/>
      <c r="Q191" s="1763"/>
      <c r="R191" s="1763"/>
      <c r="S191" s="1763"/>
      <c r="T191" s="1763"/>
      <c r="U191" s="1763"/>
      <c r="V191" s="1763"/>
      <c r="W191" s="1763"/>
      <c r="X191" s="1763"/>
      <c r="Y191" s="1763"/>
      <c r="Z191" s="1763"/>
      <c r="AA191" s="1763"/>
      <c r="AB191" s="1763"/>
      <c r="AC191" s="1763"/>
      <c r="AD191" s="1763"/>
      <c r="AE191" s="1763"/>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 customHeight="1">
      <c r="C192" s="21"/>
      <c r="M192" s="40"/>
      <c r="N192" s="1764"/>
      <c r="O192" s="1764"/>
      <c r="P192" s="1764"/>
      <c r="Q192" s="1764"/>
      <c r="R192" s="1764"/>
      <c r="S192" s="1764"/>
      <c r="T192" s="1764"/>
      <c r="U192" s="1764"/>
      <c r="V192" s="1764"/>
      <c r="W192" s="1764"/>
      <c r="X192" s="1764"/>
      <c r="Y192" s="1764"/>
      <c r="Z192" s="1764"/>
      <c r="AA192" s="1764"/>
      <c r="AB192" s="1764"/>
      <c r="AC192" s="1764"/>
      <c r="AD192" s="1764"/>
      <c r="AE192" s="1764"/>
      <c r="BC192" t="s">
        <v>1042</v>
      </c>
      <c r="BH192" s="3" t="s">
        <v>1357</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 customHeight="1">
      <c r="C193" s="21"/>
      <c r="D193" t="s">
        <v>2035</v>
      </c>
      <c r="M193" s="40"/>
      <c r="N193" s="890"/>
      <c r="O193" s="890"/>
      <c r="P193" s="890"/>
      <c r="Q193" s="890"/>
      <c r="R193" s="890"/>
      <c r="S193" s="890"/>
      <c r="T193" s="1816" t="s">
        <v>1941</v>
      </c>
      <c r="U193" s="1817"/>
      <c r="V193" s="1817"/>
      <c r="W193" s="1817"/>
      <c r="X193" s="1817"/>
      <c r="Y193" s="1817"/>
      <c r="Z193" s="1817"/>
      <c r="AA193" s="1817"/>
      <c r="AB193" s="1817"/>
      <c r="AC193" s="1817"/>
      <c r="AD193" s="1817"/>
      <c r="AE193" s="1817"/>
      <c r="AF193" s="1817"/>
      <c r="AG193" s="1817"/>
      <c r="AH193" s="1817"/>
      <c r="AI193" s="1817"/>
      <c r="BC193" t="s">
        <v>1041</v>
      </c>
      <c r="BH193" s="3" t="s">
        <v>1617</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 customHeight="1">
      <c r="C194" s="21"/>
      <c r="D194" s="3" t="s">
        <v>2168</v>
      </c>
      <c r="M194" s="40"/>
      <c r="N194" s="890"/>
      <c r="O194" s="890"/>
      <c r="P194" s="890"/>
      <c r="Q194" s="890"/>
      <c r="R194" s="890"/>
      <c r="S194" s="890"/>
      <c r="AH194" s="1344" t="s">
        <v>669</v>
      </c>
      <c r="AI194" s="1344"/>
      <c r="BC194" t="s">
        <v>1357</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 customHeight="1">
      <c r="C195" s="21"/>
      <c r="D195" t="s">
        <v>331</v>
      </c>
      <c r="T195" s="1344" t="s">
        <v>545</v>
      </c>
      <c r="U195" s="1344"/>
      <c r="W195" t="s">
        <v>684</v>
      </c>
      <c r="AH195" s="1344">
        <v>31</v>
      </c>
      <c r="AI195" s="1344"/>
      <c r="BC195" t="s">
        <v>1830</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 customHeight="1">
      <c r="C196" s="21"/>
      <c r="D196" t="s">
        <v>386</v>
      </c>
      <c r="T196" s="1381" t="s">
        <v>669</v>
      </c>
      <c r="U196" s="1381"/>
      <c r="W196" t="s">
        <v>685</v>
      </c>
      <c r="AH196" s="1344">
        <v>48</v>
      </c>
      <c r="AI196" s="134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 customHeight="1">
      <c r="C197" s="21"/>
      <c r="D197" s="3" t="s">
        <v>169</v>
      </c>
      <c r="T197" s="1381" t="s">
        <v>669</v>
      </c>
      <c r="U197" s="1381"/>
      <c r="W197" t="s">
        <v>686</v>
      </c>
      <c r="AH197" s="1344">
        <v>25</v>
      </c>
      <c r="AI197" s="134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786" t="s">
        <v>591</v>
      </c>
      <c r="U198" s="1381"/>
      <c r="V198"/>
      <c r="X198" s="1502" t="s">
        <v>2442</v>
      </c>
      <c r="Y198" s="1502"/>
      <c r="Z198" s="1502"/>
      <c r="AA198" s="1502"/>
      <c r="AB198" s="1502"/>
      <c r="AC198" s="1502"/>
      <c r="AD198" s="1502"/>
      <c r="AE198" s="1502"/>
      <c r="AF198" s="1502"/>
      <c r="AG198" s="1502"/>
      <c r="AH198" s="1502"/>
      <c r="AI198" s="1502"/>
      <c r="AJ198" s="1502"/>
      <c r="AK198" s="1502"/>
      <c r="AL198" s="1502"/>
      <c r="AM198" s="1502"/>
      <c r="AN198" s="1502"/>
      <c r="AO198" s="1502"/>
      <c r="AP198" s="1502"/>
      <c r="AQ198" s="1502"/>
      <c r="AR198" s="1502"/>
      <c r="AS198" s="1502"/>
      <c r="AT198" s="150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 customHeight="1">
      <c r="A199"/>
      <c r="B199"/>
      <c r="C199" s="21"/>
      <c r="D199" s="118" t="s">
        <v>2445</v>
      </c>
      <c r="E199"/>
      <c r="F199"/>
      <c r="G199"/>
      <c r="H199"/>
      <c r="I199"/>
      <c r="J199"/>
      <c r="K199"/>
      <c r="L199"/>
      <c r="M199"/>
      <c r="N199"/>
      <c r="O199"/>
      <c r="P199"/>
      <c r="Q199"/>
      <c r="R199"/>
      <c r="S199"/>
      <c r="T199" s="1344" t="s">
        <v>669</v>
      </c>
      <c r="U199" s="1344"/>
      <c r="V199"/>
      <c r="W199"/>
      <c r="X199" s="1502"/>
      <c r="Y199" s="1502"/>
      <c r="Z199" s="1502"/>
      <c r="AA199" s="1502"/>
      <c r="AB199" s="1502"/>
      <c r="AC199" s="1502"/>
      <c r="AD199" s="1502"/>
      <c r="AE199" s="1502"/>
      <c r="AF199" s="1502"/>
      <c r="AG199" s="1502"/>
      <c r="AH199" s="1502"/>
      <c r="AI199" s="1502"/>
      <c r="AJ199" s="1502"/>
      <c r="AK199" s="1502"/>
      <c r="AL199" s="1502"/>
      <c r="AM199" s="1502"/>
      <c r="AN199" s="1502"/>
      <c r="AO199" s="1502"/>
      <c r="AP199" s="1502"/>
      <c r="AQ199" s="1502"/>
      <c r="AR199" s="1502"/>
      <c r="AS199" s="1502"/>
      <c r="AT199" s="150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 customHeight="1">
      <c r="A200"/>
      <c r="B200"/>
      <c r="C200" s="21"/>
      <c r="D200" s="14" t="s">
        <v>2443</v>
      </c>
      <c r="T200" s="1548" t="s">
        <v>669</v>
      </c>
      <c r="U200" s="1344"/>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2444</v>
      </c>
      <c r="V201"/>
      <c r="X201"/>
      <c r="Y201"/>
      <c r="Z201"/>
      <c r="AB201" s="1184"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 customHeight="1">
      <c r="D204" s="1474" t="s">
        <v>385</v>
      </c>
      <c r="E204" s="1474"/>
      <c r="F204" s="1474"/>
      <c r="G204" s="1474"/>
      <c r="H204" s="1474"/>
      <c r="I204" s="1474"/>
      <c r="J204" s="1474"/>
      <c r="K204" s="1474"/>
      <c r="L204" s="1474"/>
      <c r="M204" s="1474"/>
      <c r="P204" s="1826">
        <f>M26</f>
        <v>2877562</v>
      </c>
      <c r="Q204" s="1827"/>
      <c r="R204" s="1827"/>
      <c r="S204" s="1827"/>
      <c r="T204" s="1827"/>
      <c r="U204" s="1827"/>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 customHeight="1">
      <c r="C205" s="21"/>
      <c r="D205" s="1834" t="s">
        <v>1246</v>
      </c>
      <c r="E205" s="1474"/>
      <c r="F205" s="1474"/>
      <c r="G205" s="1474"/>
      <c r="H205" s="1474"/>
      <c r="I205" s="1474"/>
      <c r="J205" s="1474"/>
      <c r="K205" s="1474"/>
      <c r="L205" s="1474"/>
      <c r="M205" s="1474"/>
      <c r="P205" s="1827">
        <f>M27</f>
        <v>14180161</v>
      </c>
      <c r="Q205" s="1827"/>
      <c r="R205" s="1827"/>
      <c r="S205" s="1827"/>
      <c r="T205" s="1827"/>
      <c r="U205" s="1827"/>
      <c r="V205" s="28"/>
      <c r="W205" s="3" t="s">
        <v>1708</v>
      </c>
      <c r="Z205" s="1832" t="s">
        <v>2172</v>
      </c>
      <c r="AA205" s="1832"/>
      <c r="AB205" s="1832"/>
      <c r="AC205" s="1832"/>
      <c r="AD205" s="1832"/>
      <c r="AE205" s="1832"/>
      <c r="AF205" s="1832"/>
      <c r="AG205" s="1832"/>
      <c r="AH205" s="1832"/>
      <c r="AI205" s="1832"/>
      <c r="AJ205" s="1832"/>
      <c r="AK205" s="1832"/>
      <c r="AL205" s="1832"/>
      <c r="AM205" s="1832"/>
      <c r="AN205" s="1832"/>
      <c r="AP205" s="1346"/>
      <c r="AQ205" s="134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 customHeight="1">
      <c r="C208" s="21"/>
      <c r="D208" s="1505" t="s">
        <v>2723</v>
      </c>
      <c r="E208" s="1505"/>
      <c r="F208" s="1505"/>
      <c r="G208" s="1505"/>
      <c r="H208" s="1505"/>
      <c r="I208" s="1505"/>
      <c r="J208" s="1505"/>
      <c r="K208" s="1505"/>
      <c r="L208" s="1505"/>
      <c r="M208" s="1505"/>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05" t="s">
        <v>1042</v>
      </c>
      <c r="E211" s="1505"/>
      <c r="F211" s="1505"/>
      <c r="G211" s="1505"/>
      <c r="H211" s="1505"/>
      <c r="I211" s="1505"/>
      <c r="J211" s="1505"/>
      <c r="K211" s="1505"/>
      <c r="L211" s="1505"/>
      <c r="M211" s="150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2183</v>
      </c>
      <c r="Q212" s="1344">
        <v>93</v>
      </c>
      <c r="R212" s="1344"/>
      <c r="T212" s="1818">
        <f>IFERROR(Q212/AG449,0)</f>
        <v>1</v>
      </c>
      <c r="U212" s="1819"/>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2402</v>
      </c>
      <c r="BC213" t="s">
        <v>526</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823" t="s">
        <v>591</v>
      </c>
      <c r="E214" s="1823"/>
      <c r="F214" s="1823"/>
      <c r="G214" s="1823"/>
      <c r="H214" s="1823"/>
      <c r="I214" s="1823"/>
      <c r="J214" s="1823"/>
      <c r="K214" s="1823"/>
      <c r="L214" s="1823"/>
      <c r="M214" s="1823"/>
      <c r="N214" s="1823"/>
      <c r="O214" s="1823"/>
      <c r="P214" s="1823"/>
      <c r="Q214" s="1823"/>
      <c r="R214" s="1823"/>
      <c r="S214" s="1823"/>
      <c r="T214" s="1823"/>
      <c r="U214" s="1823"/>
      <c r="V214" s="1823"/>
      <c r="W214" s="1823"/>
      <c r="X214" s="1823"/>
      <c r="Y214" s="1823"/>
      <c r="Z214" s="1823"/>
      <c r="AU214" s="21"/>
      <c r="AV214" s="21"/>
      <c r="AW214" s="21"/>
      <c r="AX214" s="21"/>
      <c r="AY214" s="21"/>
      <c r="BC214" t="s">
        <v>530</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822"/>
      <c r="AC215" s="1822"/>
      <c r="AD215" s="1822"/>
      <c r="AE215" s="1822"/>
      <c r="AF215" s="1822"/>
      <c r="AG215" s="1822"/>
      <c r="AH215" s="1822"/>
      <c r="AI215" s="1822"/>
      <c r="AJ215" s="1822"/>
      <c r="AK215" s="1822"/>
      <c r="AL215" s="1822"/>
      <c r="AM215" s="21"/>
      <c r="AN215" s="21"/>
      <c r="AO215" s="21"/>
      <c r="AP215" s="21"/>
      <c r="AQ215" s="21"/>
      <c r="AR215" s="21"/>
      <c r="AS215" s="21"/>
      <c r="AT215" s="21"/>
      <c r="AU215" s="21"/>
      <c r="AV215" s="21"/>
      <c r="AW215" s="21"/>
      <c r="AX215" s="21"/>
      <c r="AY215" s="21"/>
      <c r="BC215" t="s">
        <v>527</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822"/>
      <c r="AC216" s="1822"/>
      <c r="AD216" s="1822"/>
      <c r="AE216" s="1822"/>
      <c r="AF216" s="1822"/>
      <c r="AG216" s="1822"/>
      <c r="AH216" s="1822"/>
      <c r="AI216" s="1822"/>
      <c r="AJ216" s="1822"/>
      <c r="AK216" s="1822"/>
      <c r="AL216" s="1822"/>
      <c r="AM216" s="21"/>
      <c r="AN216" s="21"/>
      <c r="AO216" s="21"/>
      <c r="AP216" s="21"/>
      <c r="AQ216" s="21"/>
      <c r="AR216" s="21"/>
      <c r="AS216" s="21"/>
      <c r="AT216" s="21"/>
      <c r="AU216" s="21"/>
      <c r="AV216" s="21"/>
      <c r="AW216" s="21"/>
      <c r="AX216" s="21"/>
      <c r="AY216" s="21"/>
      <c r="BC216" t="s">
        <v>566</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 customHeight="1">
      <c r="A218" s="2" t="s">
        <v>592</v>
      </c>
      <c r="C218" s="2" t="s">
        <v>2186</v>
      </c>
      <c r="D218" s="28"/>
      <c r="AC218" s="2" t="s">
        <v>2391</v>
      </c>
      <c r="BC218" t="s">
        <v>529</v>
      </c>
    </row>
    <row r="219" spans="1:108" ht="12.9" customHeight="1">
      <c r="A219" s="2"/>
      <c r="C219" s="2"/>
      <c r="D219" s="3" t="s">
        <v>2392</v>
      </c>
      <c r="AZ219" s="3"/>
      <c r="BA219" s="3"/>
      <c r="BC219" t="s">
        <v>377</v>
      </c>
    </row>
    <row r="220" spans="1:108" ht="12.9" customHeight="1">
      <c r="A220" s="2"/>
      <c r="C220" s="2"/>
      <c r="D220" s="1467" t="s">
        <v>874</v>
      </c>
      <c r="E220" s="1505"/>
      <c r="F220" s="1505"/>
      <c r="G220" s="1505"/>
      <c r="H220" s="1505"/>
      <c r="I220" s="1505"/>
      <c r="J220" s="1505"/>
      <c r="K220" s="1505"/>
      <c r="L220" s="1505"/>
      <c r="M220" s="1505"/>
      <c r="N220" s="1505"/>
      <c r="O220" s="1505"/>
      <c r="P220" s="1505"/>
      <c r="Q220" s="1505"/>
      <c r="R220" s="1505"/>
      <c r="S220" s="1505"/>
      <c r="T220" s="1505"/>
      <c r="U220" s="1505"/>
      <c r="V220" s="1505"/>
      <c r="W220" s="1505"/>
      <c r="X220" s="1505"/>
      <c r="Y220" s="1505"/>
      <c r="Z220" s="1505"/>
      <c r="AC220" s="1833" t="s">
        <v>874</v>
      </c>
      <c r="AD220" s="1833"/>
      <c r="AE220" s="1833"/>
      <c r="AF220" s="1833"/>
      <c r="AG220" s="1833"/>
      <c r="AH220" s="1833"/>
      <c r="AI220" s="1833"/>
      <c r="AJ220" s="1833"/>
      <c r="AK220" s="1833"/>
      <c r="AL220" s="1833"/>
      <c r="AM220" s="1833"/>
      <c r="AN220" s="1833"/>
      <c r="AO220" s="1833"/>
      <c r="AP220" s="1833"/>
      <c r="AQ220" s="1833"/>
      <c r="BA220" s="3"/>
      <c r="BC220" t="s">
        <v>300</v>
      </c>
    </row>
    <row r="221" spans="1:108" ht="12.9" customHeight="1">
      <c r="A221" s="2"/>
      <c r="B221" s="14"/>
      <c r="C221" s="2"/>
      <c r="BA221" s="3"/>
    </row>
    <row r="222" spans="1:108" ht="12.9" customHeight="1">
      <c r="A222" s="2" t="s">
        <v>2537</v>
      </c>
      <c r="B222" s="14"/>
      <c r="C222" s="2" t="s">
        <v>2538</v>
      </c>
      <c r="BA222" s="3"/>
    </row>
    <row r="223" spans="1:108" ht="12.9" customHeight="1">
      <c r="A223" s="2"/>
      <c r="B223" s="14"/>
      <c r="C223" s="2"/>
      <c r="D223" s="3" t="s">
        <v>2539</v>
      </c>
      <c r="BA223" s="3"/>
    </row>
    <row r="224" spans="1:108" ht="12.9" customHeight="1">
      <c r="A224" s="2"/>
      <c r="B224" s="14"/>
      <c r="C224" s="2"/>
      <c r="E224" s="3" t="s">
        <v>2540</v>
      </c>
      <c r="V224" s="1344" t="s">
        <v>669</v>
      </c>
      <c r="W224" s="1344"/>
      <c r="Y224" s="1193"/>
      <c r="BA224" s="3"/>
    </row>
    <row r="225" spans="1:69" ht="12.9" customHeight="1">
      <c r="A225" s="2"/>
      <c r="B225" s="14"/>
      <c r="C225" s="2"/>
      <c r="E225" s="3" t="s">
        <v>2541</v>
      </c>
      <c r="V225" s="1344" t="s">
        <v>669</v>
      </c>
      <c r="W225" s="134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2542</v>
      </c>
      <c r="V226" s="1381" t="s">
        <v>669</v>
      </c>
      <c r="W226" s="138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2543</v>
      </c>
      <c r="V227" s="1381" t="s">
        <v>545</v>
      </c>
      <c r="W227" s="138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2544</v>
      </c>
      <c r="V228" s="1381" t="s">
        <v>545</v>
      </c>
      <c r="W228" s="138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2545</v>
      </c>
      <c r="V229" s="1381" t="s">
        <v>669</v>
      </c>
      <c r="W229" s="138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09" t="s">
        <v>540</v>
      </c>
      <c r="B231" s="1509"/>
      <c r="C231" s="1509"/>
      <c r="D231" s="1509"/>
      <c r="E231" s="1509"/>
      <c r="F231" s="1509"/>
      <c r="G231" s="1509"/>
      <c r="H231" s="1509"/>
      <c r="I231" s="1509"/>
      <c r="J231" s="1509"/>
      <c r="K231" s="1509"/>
      <c r="L231" s="1509"/>
      <c r="M231" s="1509"/>
      <c r="N231" s="1509"/>
      <c r="O231" s="1509"/>
      <c r="P231" s="1509"/>
      <c r="Q231" s="1509"/>
      <c r="R231" s="1509"/>
      <c r="S231" s="1509"/>
      <c r="T231" s="1509"/>
      <c r="U231" s="1509"/>
      <c r="V231" s="1509"/>
      <c r="W231" s="1509"/>
      <c r="X231" s="1509"/>
      <c r="Y231" s="1509"/>
      <c r="Z231" s="1509"/>
      <c r="AA231" s="1509"/>
      <c r="AB231" s="1509"/>
      <c r="AC231" s="1509"/>
      <c r="AD231" s="1509"/>
      <c r="AE231" s="1509"/>
      <c r="AF231" s="1509"/>
      <c r="AG231" s="1509"/>
      <c r="AH231" s="1509"/>
      <c r="AI231" s="1509"/>
      <c r="AJ231" s="1509"/>
      <c r="AK231" s="1509"/>
      <c r="AL231" s="1509"/>
      <c r="AM231" s="1509"/>
      <c r="AN231" s="1509"/>
      <c r="AO231" s="1509"/>
      <c r="AP231" s="1509"/>
      <c r="AQ231" s="1509"/>
      <c r="AR231" s="1509"/>
      <c r="AS231" s="1509"/>
      <c r="AT231" s="1509"/>
      <c r="AU231" s="95"/>
      <c r="AV231" s="95"/>
      <c r="AW231" s="95"/>
      <c r="AX231" s="95"/>
      <c r="AY231" s="95"/>
      <c r="AZ231" s="3"/>
      <c r="BA231" s="3"/>
      <c r="BP231" s="34"/>
    </row>
    <row r="232" spans="1:69" ht="12.9" customHeight="1">
      <c r="A232" s="1509"/>
      <c r="B232" s="1509"/>
      <c r="C232" s="1509"/>
      <c r="D232" s="1509"/>
      <c r="E232" s="1509"/>
      <c r="F232" s="1509"/>
      <c r="G232" s="1509"/>
      <c r="H232" s="1509"/>
      <c r="I232" s="1509"/>
      <c r="J232" s="1509"/>
      <c r="K232" s="1509"/>
      <c r="L232" s="1509"/>
      <c r="M232" s="1509"/>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L232" s="1509"/>
      <c r="AM232" s="1509"/>
      <c r="AN232" s="1509"/>
      <c r="AO232" s="1509"/>
      <c r="AP232" s="1509"/>
      <c r="AQ232" s="1509"/>
      <c r="AR232" s="1509"/>
      <c r="AS232" s="1509"/>
      <c r="AT232" s="1509"/>
      <c r="BA232" s="3"/>
      <c r="BB232" s="3"/>
      <c r="BQ232" s="34"/>
    </row>
    <row r="233" spans="1:69" ht="12.9" customHeight="1">
      <c r="AZ233" s="4"/>
      <c r="BA233" s="3"/>
      <c r="BB233" s="3"/>
      <c r="BQ233" s="34"/>
    </row>
    <row r="234" spans="1:69" ht="12.9"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4" t="s">
        <v>591</v>
      </c>
      <c r="AJ235" s="134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4" t="s">
        <v>545</v>
      </c>
      <c r="AJ236" s="134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4" t="s">
        <v>591</v>
      </c>
      <c r="AJ237" s="134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4" t="s">
        <v>591</v>
      </c>
      <c r="AJ238" s="1344"/>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 customHeight="1">
      <c r="A240" s="2" t="s">
        <v>576</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470</v>
      </c>
      <c r="E241" s="4"/>
      <c r="F241" s="4"/>
      <c r="G241" s="4"/>
      <c r="H241" s="4"/>
      <c r="I241" s="4"/>
      <c r="J241" s="4"/>
      <c r="K241" s="4"/>
      <c r="M241" s="1813" t="str">
        <f>H16</f>
        <v>Compass for Affordable Housing</v>
      </c>
      <c r="N241" s="1813"/>
      <c r="O241" s="1813"/>
      <c r="P241" s="1813"/>
      <c r="Q241" s="1813"/>
      <c r="R241" s="1813"/>
      <c r="S241" s="1813"/>
      <c r="T241" s="1813"/>
      <c r="U241" s="1813"/>
      <c r="V241" s="1813"/>
      <c r="W241" s="1813"/>
      <c r="X241" s="1813"/>
      <c r="Y241" s="1813"/>
      <c r="Z241" s="1813"/>
      <c r="AA241" s="1813"/>
      <c r="AB241" s="1813"/>
      <c r="AC241" s="1813"/>
      <c r="AD241" s="1813"/>
      <c r="AE241" s="1813"/>
      <c r="AF241" s="1813"/>
      <c r="AG241" s="1813"/>
      <c r="AH241" s="1813"/>
      <c r="AI241" s="1813"/>
      <c r="AJ241" s="1813"/>
      <c r="AK241" s="1813"/>
      <c r="AZ241" s="4"/>
      <c r="BA241" s="3"/>
      <c r="BB241" s="205" t="s">
        <v>538</v>
      </c>
      <c r="BG241" s="241">
        <f>IF(AND(AND($M$258="nonprofit",$M$266="nonprofit",$M$274="for profit")),2,0)</f>
        <v>0</v>
      </c>
    </row>
    <row r="242" spans="1:67" ht="12.9" customHeight="1">
      <c r="D242" s="4" t="s">
        <v>85</v>
      </c>
      <c r="E242" s="4"/>
      <c r="F242" s="4"/>
      <c r="G242" s="4"/>
      <c r="H242" s="4"/>
      <c r="I242" s="4"/>
      <c r="J242" s="4"/>
      <c r="K242" s="4"/>
      <c r="M242" s="1467" t="s">
        <v>2762</v>
      </c>
      <c r="N242" s="1505"/>
      <c r="O242" s="1505"/>
      <c r="P242" s="1505"/>
      <c r="Q242" s="1505"/>
      <c r="R242" s="1505"/>
      <c r="S242" s="1505"/>
      <c r="T242" s="1505"/>
      <c r="U242" s="1505"/>
      <c r="V242" s="1505"/>
      <c r="W242" s="1505"/>
      <c r="X242" s="1505"/>
      <c r="Y242" s="1505"/>
      <c r="Z242" s="1505"/>
      <c r="AA242" s="1505"/>
      <c r="AB242" s="1505"/>
      <c r="AC242" s="1505"/>
      <c r="AD242" s="1505"/>
      <c r="AE242" s="1505"/>
      <c r="BB242" s="205" t="s">
        <v>538</v>
      </c>
      <c r="BG242" s="241">
        <f>IF(AND(AND($M$258="nonprofit",$M$266="for profit",$M$274="nonprofit")),2,0)</f>
        <v>0</v>
      </c>
    </row>
    <row r="243" spans="1:67" ht="12.9" customHeight="1">
      <c r="D243" s="4" t="s">
        <v>580</v>
      </c>
      <c r="E243" s="4"/>
      <c r="M243" s="1467" t="s">
        <v>729</v>
      </c>
      <c r="N243" s="1505"/>
      <c r="O243" s="1505"/>
      <c r="P243" s="1505"/>
      <c r="Q243" s="1505"/>
      <c r="R243" s="1505"/>
      <c r="S243" s="1505"/>
      <c r="T243" s="1505"/>
      <c r="V243" s="33" t="s">
        <v>86</v>
      </c>
      <c r="W243" s="1442" t="s">
        <v>2648</v>
      </c>
      <c r="X243" s="1473"/>
      <c r="Y243" s="4" t="s">
        <v>583</v>
      </c>
      <c r="AC243" s="1505">
        <v>92128</v>
      </c>
      <c r="AD243" s="1505"/>
      <c r="AE243" s="1505"/>
      <c r="AU243" s="4"/>
      <c r="AV243" s="4"/>
      <c r="AW243" s="4"/>
      <c r="AX243" s="4"/>
      <c r="AY243" s="4"/>
      <c r="AZ243" s="4"/>
      <c r="BB243" s="205" t="s">
        <v>538</v>
      </c>
      <c r="BG243" s="240">
        <f>IF(AND(AND($M$258="for profit",$M$266="nonprofit",$M$274="nonprofit")),2,0)</f>
        <v>0</v>
      </c>
    </row>
    <row r="244" spans="1:67" ht="12.9" customHeight="1">
      <c r="D244" s="4" t="s">
        <v>87</v>
      </c>
      <c r="E244" s="4"/>
      <c r="F244" s="4"/>
      <c r="G244" s="4"/>
      <c r="H244" s="4"/>
      <c r="I244" s="4"/>
      <c r="J244" s="4"/>
      <c r="K244" s="19"/>
      <c r="M244" s="1467" t="s">
        <v>2763</v>
      </c>
      <c r="N244" s="1505"/>
      <c r="O244" s="1505"/>
      <c r="P244" s="1505"/>
      <c r="Q244" s="1505"/>
      <c r="R244" s="1505"/>
      <c r="S244" s="1505"/>
      <c r="T244" s="1505"/>
      <c r="U244" s="1505"/>
      <c r="V244" s="1505"/>
      <c r="W244" s="1505"/>
      <c r="X244" s="1505"/>
      <c r="Y244" s="1505"/>
      <c r="Z244" s="1505"/>
      <c r="AA244" s="1505"/>
      <c r="AB244" s="1505"/>
      <c r="AC244" s="1505"/>
      <c r="AD244" s="1505"/>
      <c r="AE244" s="1505"/>
      <c r="AI244" s="4"/>
      <c r="AJ244" s="4"/>
      <c r="AK244" s="4"/>
      <c r="AL244" s="4"/>
      <c r="AM244" s="4"/>
      <c r="AN244" s="4"/>
      <c r="AO244" s="4"/>
      <c r="AP244" s="4"/>
      <c r="AQ244" s="4"/>
      <c r="AR244" s="4"/>
      <c r="AS244" s="4"/>
      <c r="AT244" s="4"/>
      <c r="BB244" s="205"/>
      <c r="BG244" s="204"/>
    </row>
    <row r="245" spans="1:67" ht="12.9" customHeight="1">
      <c r="D245" s="4" t="s">
        <v>88</v>
      </c>
      <c r="E245" s="4"/>
      <c r="F245" s="4"/>
      <c r="M245" s="1529" t="s">
        <v>2764</v>
      </c>
      <c r="N245" s="1498"/>
      <c r="O245" s="1498"/>
      <c r="P245" s="1498"/>
      <c r="Q245" s="1498"/>
      <c r="R245" s="1498"/>
      <c r="S245" s="4" t="s">
        <v>206</v>
      </c>
      <c r="T245" s="4"/>
      <c r="U245" s="1442" t="s">
        <v>591</v>
      </c>
      <c r="V245" s="1473"/>
      <c r="W245" s="1473"/>
      <c r="X245" s="4" t="s">
        <v>89</v>
      </c>
      <c r="Z245" s="1498" t="s">
        <v>591</v>
      </c>
      <c r="AA245" s="1498"/>
      <c r="AB245" s="1498"/>
      <c r="AC245" s="1498"/>
      <c r="AD245" s="1498"/>
      <c r="AE245" s="1498"/>
      <c r="AU245" s="4"/>
      <c r="AV245" s="4"/>
      <c r="AW245" s="4"/>
      <c r="AX245" s="4"/>
      <c r="AY245" s="4"/>
      <c r="AZ245" s="4"/>
      <c r="BB245" s="204" t="s">
        <v>537</v>
      </c>
      <c r="BG245" s="241">
        <f>IF(AND(AND($M$258="nonprofit",$M$266="nonprofit",$M$274="(select one)")),1,0)</f>
        <v>0</v>
      </c>
    </row>
    <row r="246" spans="1:67" ht="12.9" customHeight="1">
      <c r="D246" s="4" t="s">
        <v>90</v>
      </c>
      <c r="E246" s="4"/>
      <c r="F246" s="4"/>
      <c r="M246" s="1798" t="s">
        <v>2765</v>
      </c>
      <c r="N246" s="1798"/>
      <c r="O246" s="1798"/>
      <c r="P246" s="1798"/>
      <c r="Q246" s="1798"/>
      <c r="R246" s="1798"/>
      <c r="S246" s="1798"/>
      <c r="T246" s="1798"/>
      <c r="U246" s="1798"/>
      <c r="V246" s="1798"/>
      <c r="W246" s="1798"/>
      <c r="X246" s="1798"/>
      <c r="Y246" s="1798"/>
      <c r="Z246" s="1798"/>
      <c r="AA246" s="1798"/>
      <c r="AB246" s="1798"/>
      <c r="AC246" s="1798"/>
      <c r="AD246" s="1798"/>
      <c r="AE246" s="179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 customHeight="1">
      <c r="A247" s="2" t="s">
        <v>586</v>
      </c>
      <c r="C247" s="2" t="s">
        <v>525</v>
      </c>
      <c r="M247" s="1485" t="s">
        <v>377</v>
      </c>
      <c r="N247" s="1485"/>
      <c r="O247" s="1485"/>
      <c r="P247" s="1485"/>
      <c r="Q247" s="1485"/>
      <c r="R247" s="1485"/>
      <c r="S247" s="1485"/>
      <c r="T247" s="1485"/>
      <c r="U247" s="204" t="s">
        <v>906</v>
      </c>
      <c r="V247" s="204"/>
      <c r="W247" s="204"/>
      <c r="X247" s="204"/>
      <c r="Y247" s="204"/>
      <c r="Z247" s="204"/>
      <c r="AA247" s="1803" t="s">
        <v>591</v>
      </c>
      <c r="AB247" s="1797"/>
      <c r="AC247" s="1797"/>
      <c r="AD247" s="1797"/>
      <c r="AE247" s="1797"/>
      <c r="AF247" s="1797"/>
      <c r="AG247" s="1797"/>
      <c r="AH247" s="1797"/>
      <c r="AI247" s="1797"/>
      <c r="AJ247" s="1797"/>
      <c r="AK247" s="1797"/>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 customHeight="1">
      <c r="D248" t="s">
        <v>531</v>
      </c>
      <c r="M248" s="1467" t="s">
        <v>591</v>
      </c>
      <c r="N248" s="1468"/>
      <c r="O248" s="1468"/>
      <c r="P248" s="1468"/>
      <c r="Q248" s="1468"/>
      <c r="R248" s="1468"/>
      <c r="S248" s="1468"/>
      <c r="T248" s="1468"/>
      <c r="U248" s="1468"/>
      <c r="V248" s="1468"/>
      <c r="W248" s="1468"/>
      <c r="X248" s="1468"/>
      <c r="Y248" s="1468"/>
      <c r="Z248" s="1468"/>
      <c r="AA248" s="1468"/>
      <c r="AB248" s="1468"/>
      <c r="AC248" s="1468"/>
      <c r="AD248" s="1468"/>
      <c r="AE248" s="1468"/>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 customHeight="1">
      <c r="D249" s="4"/>
      <c r="BB249" s="204" t="s">
        <v>877</v>
      </c>
      <c r="BG249" s="241">
        <f>IF(AND(AND($M$258="for profit",$M$266="for profit",$M$274="for profit")),3,0)</f>
        <v>0</v>
      </c>
    </row>
    <row r="250" spans="1:67" ht="12.9" customHeight="1">
      <c r="A250" s="2" t="s">
        <v>589</v>
      </c>
      <c r="C250" s="2" t="s">
        <v>1182</v>
      </c>
      <c r="D250" s="4"/>
      <c r="L250" s="8"/>
      <c r="M250" s="8"/>
      <c r="N250" s="8"/>
      <c r="AU250" s="3"/>
      <c r="AV250" s="3"/>
      <c r="AW250" s="3"/>
      <c r="AX250" s="3"/>
      <c r="AY250" s="3"/>
      <c r="BB250" s="204" t="s">
        <v>877</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473</v>
      </c>
      <c r="D252" s="4" t="s">
        <v>532</v>
      </c>
      <c r="E252" s="4"/>
      <c r="F252" s="4"/>
      <c r="G252" s="4"/>
      <c r="H252" s="4"/>
      <c r="I252" s="4"/>
      <c r="J252" s="4"/>
      <c r="K252" s="4"/>
      <c r="L252" s="4"/>
      <c r="M252" s="1507" t="s">
        <v>2649</v>
      </c>
      <c r="N252" s="1508"/>
      <c r="O252" s="1508"/>
      <c r="P252" s="1508"/>
      <c r="Q252" s="1508"/>
      <c r="R252" s="1508"/>
      <c r="S252" s="1508"/>
      <c r="T252" s="1508"/>
      <c r="U252" s="1508"/>
      <c r="V252" s="1508"/>
      <c r="W252" s="1508"/>
      <c r="X252" s="1508"/>
      <c r="Y252" s="1508"/>
      <c r="Z252" s="1508"/>
      <c r="AA252" s="1508"/>
      <c r="AB252" s="1508"/>
      <c r="AC252" s="1508"/>
      <c r="AD252" s="1508"/>
      <c r="AE252" s="1508"/>
      <c r="AF252" s="1508" t="s">
        <v>2766</v>
      </c>
      <c r="AG252" s="1508"/>
      <c r="AH252" s="1508"/>
      <c r="AI252" s="1508"/>
      <c r="AJ252" s="1508"/>
      <c r="AK252" s="1508"/>
      <c r="AU252" s="4"/>
      <c r="AV252" s="4"/>
      <c r="AW252" s="4"/>
      <c r="AX252" s="4"/>
      <c r="AY252" s="4"/>
      <c r="BG252">
        <f>SUM(BG235:BG250)</f>
        <v>0</v>
      </c>
    </row>
    <row r="253" spans="1:67" ht="12.9" customHeight="1">
      <c r="A253" s="19"/>
      <c r="B253" s="4"/>
      <c r="C253" s="4"/>
      <c r="D253" s="4" t="s">
        <v>85</v>
      </c>
      <c r="E253" s="4"/>
      <c r="F253" s="4"/>
      <c r="G253" s="4"/>
      <c r="H253" s="4"/>
      <c r="I253" s="4"/>
      <c r="J253" s="4"/>
      <c r="K253" s="4"/>
      <c r="L253" s="4"/>
      <c r="M253" s="1467" t="s">
        <v>2647</v>
      </c>
      <c r="N253" s="1505"/>
      <c r="O253" s="1505"/>
      <c r="P253" s="1505"/>
      <c r="Q253" s="1505"/>
      <c r="R253" s="1505"/>
      <c r="S253" s="1505"/>
      <c r="T253" s="1505"/>
      <c r="U253" s="1505"/>
      <c r="V253" s="1505"/>
      <c r="W253" s="1505"/>
      <c r="X253" s="1505"/>
      <c r="Y253" s="1505"/>
      <c r="Z253" s="1505"/>
      <c r="AA253" s="1505"/>
      <c r="AB253" s="1505"/>
      <c r="AC253" s="1505"/>
      <c r="AD253" s="1505"/>
      <c r="AE253" s="1505"/>
      <c r="AF253" s="3" t="s">
        <v>1178</v>
      </c>
      <c r="AL253" s="4"/>
      <c r="AM253" s="4"/>
      <c r="AN253" s="4"/>
      <c r="AO253" s="4"/>
      <c r="AP253" s="4"/>
      <c r="AQ253" s="4"/>
      <c r="AR253" s="4"/>
      <c r="AS253" s="4"/>
      <c r="AT253" s="4"/>
      <c r="BB253" t="s">
        <v>307</v>
      </c>
      <c r="BG253">
        <v>1</v>
      </c>
      <c r="BH253" t="s">
        <v>534</v>
      </c>
    </row>
    <row r="254" spans="1:67" ht="12.9" customHeight="1">
      <c r="A254" s="19"/>
      <c r="B254" s="4"/>
      <c r="C254" s="4"/>
      <c r="D254" s="4" t="s">
        <v>580</v>
      </c>
      <c r="E254" s="4"/>
      <c r="M254" s="1467" t="s">
        <v>729</v>
      </c>
      <c r="N254" s="1505"/>
      <c r="O254" s="1505"/>
      <c r="P254" s="1505"/>
      <c r="Q254" s="1505"/>
      <c r="R254" s="1505"/>
      <c r="S254" s="1505"/>
      <c r="T254" s="1505"/>
      <c r="V254" s="33" t="s">
        <v>86</v>
      </c>
      <c r="W254" s="1442" t="s">
        <v>2648</v>
      </c>
      <c r="X254" s="1473"/>
      <c r="Y254" s="4" t="s">
        <v>583</v>
      </c>
      <c r="AC254" s="1505">
        <v>92128</v>
      </c>
      <c r="AD254" s="1505"/>
      <c r="AE254" s="1505"/>
      <c r="AF254" s="3" t="s">
        <v>1179</v>
      </c>
      <c r="AU254" s="4"/>
      <c r="AV254" s="4"/>
      <c r="AW254" s="4"/>
      <c r="AX254" s="4"/>
      <c r="AY254" s="4"/>
      <c r="BB254" s="4" t="s">
        <v>280</v>
      </c>
      <c r="BG254">
        <v>2</v>
      </c>
      <c r="BH254" t="s">
        <v>566</v>
      </c>
      <c r="BO254" s="239" t="str">
        <f>VLOOKUP(BG252,BG253:BH256,2,FALSE)</f>
        <v/>
      </c>
    </row>
    <row r="255" spans="1:67" ht="12.9" customHeight="1">
      <c r="A255" s="19"/>
      <c r="B255" s="4"/>
      <c r="C255" s="4"/>
      <c r="D255" s="4" t="s">
        <v>87</v>
      </c>
      <c r="E255" s="4"/>
      <c r="F255" s="4"/>
      <c r="G255" s="4"/>
      <c r="H255" s="4"/>
      <c r="I255" s="4"/>
      <c r="J255" s="4"/>
      <c r="K255" s="4"/>
      <c r="L255" s="19"/>
      <c r="M255" s="1467" t="s">
        <v>2767</v>
      </c>
      <c r="N255" s="1505"/>
      <c r="O255" s="1505"/>
      <c r="P255" s="1505"/>
      <c r="Q255" s="1505"/>
      <c r="R255" s="1505"/>
      <c r="S255" s="1505"/>
      <c r="T255" s="1505"/>
      <c r="U255" s="1505"/>
      <c r="V255" s="1505"/>
      <c r="W255" s="1505"/>
      <c r="X255" s="1505"/>
      <c r="Y255" s="1505"/>
      <c r="Z255" s="1505"/>
      <c r="AA255" s="1505"/>
      <c r="AB255" s="1505"/>
      <c r="AC255" s="1505"/>
      <c r="AD255" s="1505"/>
      <c r="AE255" s="1505"/>
      <c r="AH255" s="1800">
        <v>9.7999999999999997E-3</v>
      </c>
      <c r="AI255" s="1801"/>
      <c r="AJ255" s="1801"/>
      <c r="AK255" s="1801"/>
      <c r="AL255" s="4"/>
      <c r="AM255" s="4"/>
      <c r="AN255" s="4"/>
      <c r="AO255" s="4"/>
      <c r="AP255" s="4"/>
      <c r="AQ255" s="4"/>
      <c r="AR255" s="4"/>
      <c r="AS255" s="4"/>
      <c r="AT255" s="4"/>
      <c r="BB255" s="4" t="s">
        <v>173</v>
      </c>
      <c r="BG255">
        <v>3</v>
      </c>
      <c r="BH255" t="s">
        <v>536</v>
      </c>
      <c r="BN255" s="34"/>
    </row>
    <row r="256" spans="1:67" ht="12.9" customHeight="1">
      <c r="A256" s="19"/>
      <c r="B256" s="4"/>
      <c r="C256" s="4"/>
      <c r="D256" s="4" t="s">
        <v>88</v>
      </c>
      <c r="E256" s="4"/>
      <c r="F256" s="4"/>
      <c r="M256" s="1529" t="s">
        <v>2650</v>
      </c>
      <c r="N256" s="1498"/>
      <c r="O256" s="1498"/>
      <c r="P256" s="1498"/>
      <c r="Q256" s="1498"/>
      <c r="R256" s="1498"/>
      <c r="S256" s="4" t="s">
        <v>206</v>
      </c>
      <c r="T256" s="4"/>
      <c r="U256" s="1473" t="s">
        <v>591</v>
      </c>
      <c r="V256" s="1473"/>
      <c r="W256" s="1473"/>
      <c r="X256" s="4" t="s">
        <v>89</v>
      </c>
      <c r="Z256" s="1498" t="s">
        <v>591</v>
      </c>
      <c r="AA256" s="1498"/>
      <c r="AB256" s="1498"/>
      <c r="AC256" s="1498"/>
      <c r="AD256" s="1498"/>
      <c r="AE256" s="1498"/>
      <c r="AU256" s="4"/>
      <c r="AV256" s="4"/>
      <c r="AW256" s="4"/>
      <c r="AX256" s="4"/>
      <c r="AY256" s="4"/>
      <c r="BG256">
        <v>0</v>
      </c>
      <c r="BH256" s="3" t="str">
        <f>""</f>
        <v/>
      </c>
      <c r="BN256" s="34"/>
    </row>
    <row r="257" spans="1:66" ht="12.9" customHeight="1">
      <c r="A257" s="19"/>
      <c r="B257" s="4"/>
      <c r="C257" s="4"/>
      <c r="D257" s="4" t="s">
        <v>90</v>
      </c>
      <c r="E257" s="4"/>
      <c r="F257" s="4"/>
      <c r="M257" s="1798" t="s">
        <v>2651</v>
      </c>
      <c r="N257" s="1798"/>
      <c r="O257" s="1798"/>
      <c r="P257" s="1798"/>
      <c r="Q257" s="1798"/>
      <c r="R257" s="1798"/>
      <c r="S257" s="1798"/>
      <c r="T257" s="1798"/>
      <c r="U257" s="1798"/>
      <c r="V257" s="1798"/>
      <c r="W257" s="1798"/>
      <c r="X257" s="1798"/>
      <c r="Y257" s="1798"/>
      <c r="Z257" s="1798"/>
      <c r="AA257" s="1798"/>
      <c r="AB257" s="1798"/>
      <c r="AC257" s="1798"/>
      <c r="AD257" s="1798"/>
      <c r="AE257" s="1798"/>
      <c r="AG257" s="4"/>
      <c r="AH257" s="4"/>
      <c r="AI257" s="4"/>
      <c r="AJ257" s="4"/>
      <c r="AK257" s="4"/>
      <c r="AL257" s="4"/>
      <c r="AM257" s="4"/>
      <c r="AN257" s="4"/>
      <c r="AO257" s="4"/>
      <c r="AP257" s="4"/>
      <c r="AQ257" s="4"/>
      <c r="AR257" s="4"/>
      <c r="AS257" s="4"/>
      <c r="AT257" s="4"/>
      <c r="BN257" s="34"/>
    </row>
    <row r="258" spans="1:66" ht="12.9" customHeight="1">
      <c r="A258" s="13"/>
      <c r="B258" s="4"/>
      <c r="C258" s="56"/>
      <c r="D258" s="4" t="s">
        <v>535</v>
      </c>
      <c r="E258" s="4"/>
      <c r="F258" s="4"/>
      <c r="G258" s="4"/>
      <c r="H258" s="4"/>
      <c r="I258" s="4"/>
      <c r="J258" s="4"/>
      <c r="K258" s="4"/>
      <c r="L258" s="4"/>
      <c r="M258" s="1485" t="s">
        <v>536</v>
      </c>
      <c r="N258" s="1485"/>
      <c r="O258" s="1485"/>
      <c r="P258" s="1485"/>
      <c r="Q258" s="1485"/>
      <c r="R258" s="1485"/>
      <c r="S258" s="1485"/>
      <c r="T258" s="1485"/>
      <c r="U258" s="204" t="s">
        <v>906</v>
      </c>
      <c r="V258" s="204"/>
      <c r="W258" s="204"/>
      <c r="X258" s="204"/>
      <c r="Y258" s="204"/>
      <c r="Z258" s="204"/>
      <c r="AA258" s="1797" t="s">
        <v>2652</v>
      </c>
      <c r="AB258" s="1797"/>
      <c r="AC258" s="1797"/>
      <c r="AD258" s="1797"/>
      <c r="AE258" s="1797"/>
      <c r="AF258" s="1797"/>
      <c r="AG258" s="1797"/>
      <c r="AH258" s="1797"/>
      <c r="AI258" s="1797"/>
      <c r="AJ258" s="1797"/>
      <c r="AK258" s="1797"/>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955</v>
      </c>
      <c r="E260" s="4"/>
      <c r="F260" s="4"/>
      <c r="G260" s="4"/>
      <c r="H260" s="4"/>
      <c r="I260" s="4"/>
      <c r="J260" s="4"/>
      <c r="K260" s="4"/>
      <c r="L260" s="4"/>
      <c r="M260" s="1507" t="s">
        <v>2768</v>
      </c>
      <c r="N260" s="1508"/>
      <c r="O260" s="1508"/>
      <c r="P260" s="1508"/>
      <c r="Q260" s="1508"/>
      <c r="R260" s="1508"/>
      <c r="S260" s="1508"/>
      <c r="T260" s="1508"/>
      <c r="U260" s="1508"/>
      <c r="V260" s="1508"/>
      <c r="W260" s="1508"/>
      <c r="X260" s="1508"/>
      <c r="Y260" s="1508"/>
      <c r="Z260" s="1508"/>
      <c r="AA260" s="1508"/>
      <c r="AB260" s="1508"/>
      <c r="AC260" s="1508"/>
      <c r="AD260" s="1508"/>
      <c r="AE260" s="1508"/>
      <c r="AF260" s="1508" t="s">
        <v>2766</v>
      </c>
      <c r="AG260" s="1508"/>
      <c r="AH260" s="1508"/>
      <c r="AI260" s="1508"/>
      <c r="AJ260" s="1508"/>
      <c r="AK260" s="1508"/>
      <c r="AU260" s="4"/>
      <c r="AV260" s="4"/>
      <c r="AW260" s="4"/>
      <c r="AX260" s="4"/>
      <c r="AY260" s="4"/>
      <c r="BN260" s="34"/>
    </row>
    <row r="261" spans="1:66" ht="12.9" customHeight="1">
      <c r="A261" s="19"/>
      <c r="B261" s="4"/>
      <c r="C261" s="4"/>
      <c r="D261" s="4" t="s">
        <v>85</v>
      </c>
      <c r="E261" s="4"/>
      <c r="F261" s="4"/>
      <c r="G261" s="4"/>
      <c r="H261" s="4"/>
      <c r="I261" s="4"/>
      <c r="J261" s="4"/>
      <c r="K261" s="4"/>
      <c r="L261" s="4"/>
      <c r="M261" s="1467" t="s">
        <v>2762</v>
      </c>
      <c r="N261" s="1505"/>
      <c r="O261" s="1505"/>
      <c r="P261" s="1505"/>
      <c r="Q261" s="1505"/>
      <c r="R261" s="1505"/>
      <c r="S261" s="1505"/>
      <c r="T261" s="1505"/>
      <c r="U261" s="1505"/>
      <c r="V261" s="1505"/>
      <c r="W261" s="1505"/>
      <c r="X261" s="1505"/>
      <c r="Y261" s="1505"/>
      <c r="Z261" s="1505"/>
      <c r="AA261" s="1505"/>
      <c r="AB261" s="1505"/>
      <c r="AC261" s="1505"/>
      <c r="AD261" s="1505"/>
      <c r="AE261" s="1505"/>
      <c r="AF261" s="3" t="s">
        <v>1178</v>
      </c>
      <c r="AL261" s="4"/>
      <c r="AM261" s="4"/>
      <c r="AN261" s="4"/>
      <c r="AO261" s="4"/>
      <c r="AP261" s="4"/>
      <c r="AQ261" s="4"/>
      <c r="AR261" s="4"/>
      <c r="AS261" s="4"/>
      <c r="AT261" s="4"/>
      <c r="BN261" s="34"/>
    </row>
    <row r="262" spans="1:66" ht="12.9" customHeight="1">
      <c r="A262" s="19"/>
      <c r="B262" s="4"/>
      <c r="C262" s="4"/>
      <c r="D262" s="4" t="s">
        <v>580</v>
      </c>
      <c r="E262" s="4"/>
      <c r="M262" s="1467" t="s">
        <v>729</v>
      </c>
      <c r="N262" s="1505"/>
      <c r="O262" s="1505"/>
      <c r="P262" s="1505"/>
      <c r="Q262" s="1505"/>
      <c r="R262" s="1505"/>
      <c r="S262" s="1505"/>
      <c r="T262" s="1505"/>
      <c r="V262" s="33" t="s">
        <v>86</v>
      </c>
      <c r="W262" s="1442" t="s">
        <v>2648</v>
      </c>
      <c r="X262" s="1473"/>
      <c r="Y262" s="4" t="s">
        <v>583</v>
      </c>
      <c r="AC262" s="1505">
        <v>92128</v>
      </c>
      <c r="AD262" s="1505"/>
      <c r="AE262" s="1505"/>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467" t="s">
        <v>2763</v>
      </c>
      <c r="N263" s="1505"/>
      <c r="O263" s="1505"/>
      <c r="P263" s="1505"/>
      <c r="Q263" s="1505"/>
      <c r="R263" s="1505"/>
      <c r="S263" s="1505"/>
      <c r="T263" s="1505"/>
      <c r="U263" s="1505"/>
      <c r="V263" s="1505"/>
      <c r="W263" s="1505"/>
      <c r="X263" s="1505"/>
      <c r="Y263" s="1505"/>
      <c r="Z263" s="1505"/>
      <c r="AA263" s="1505"/>
      <c r="AB263" s="1505"/>
      <c r="AC263" s="1505"/>
      <c r="AD263" s="1505"/>
      <c r="AE263" s="1505"/>
      <c r="AH263" s="1800">
        <v>1E-4</v>
      </c>
      <c r="AI263" s="1801"/>
      <c r="AJ263" s="1801"/>
      <c r="AK263" s="1801"/>
      <c r="AL263" s="4"/>
      <c r="AM263" s="4"/>
      <c r="AN263" s="4"/>
      <c r="AO263" s="4"/>
      <c r="AP263" s="4"/>
      <c r="AQ263" s="4"/>
      <c r="AR263" s="4"/>
      <c r="AS263" s="4"/>
      <c r="AT263" s="4"/>
    </row>
    <row r="264" spans="1:66" ht="12.9" customHeight="1">
      <c r="A264" s="19"/>
      <c r="B264" s="4"/>
      <c r="C264" s="4"/>
      <c r="D264" s="4" t="s">
        <v>88</v>
      </c>
      <c r="E264" s="4"/>
      <c r="F264" s="4"/>
      <c r="M264" s="1529" t="s">
        <v>2764</v>
      </c>
      <c r="N264" s="1498"/>
      <c r="O264" s="1498"/>
      <c r="P264" s="1498"/>
      <c r="Q264" s="1498"/>
      <c r="R264" s="1498"/>
      <c r="S264" s="4" t="s">
        <v>206</v>
      </c>
      <c r="T264" s="4"/>
      <c r="U264" s="1442" t="s">
        <v>591</v>
      </c>
      <c r="V264" s="1473"/>
      <c r="W264" s="1473"/>
      <c r="X264" s="4" t="s">
        <v>89</v>
      </c>
      <c r="Z264" s="1529" t="s">
        <v>591</v>
      </c>
      <c r="AA264" s="1498"/>
      <c r="AB264" s="1498"/>
      <c r="AC264" s="1498"/>
      <c r="AD264" s="1498"/>
      <c r="AE264" s="1498"/>
      <c r="AU264" s="4"/>
      <c r="AV264" s="4"/>
      <c r="AW264" s="4"/>
      <c r="AX264" s="4"/>
      <c r="AY264" s="4"/>
      <c r="BN264" s="34"/>
    </row>
    <row r="265" spans="1:66" ht="12.9" customHeight="1">
      <c r="A265" s="19"/>
      <c r="B265" s="4"/>
      <c r="C265" s="4"/>
      <c r="D265" s="4" t="s">
        <v>90</v>
      </c>
      <c r="E265" s="4"/>
      <c r="F265" s="4"/>
      <c r="M265" s="1798" t="s">
        <v>2765</v>
      </c>
      <c r="N265" s="1798"/>
      <c r="O265" s="1798"/>
      <c r="P265" s="1798"/>
      <c r="Q265" s="1798"/>
      <c r="R265" s="1798"/>
      <c r="S265" s="1798"/>
      <c r="T265" s="1798"/>
      <c r="U265" s="1798"/>
      <c r="V265" s="1798"/>
      <c r="W265" s="1798"/>
      <c r="X265" s="1798"/>
      <c r="Y265" s="1798"/>
      <c r="Z265" s="1798"/>
      <c r="AA265" s="1798"/>
      <c r="AB265" s="1798"/>
      <c r="AC265" s="1798"/>
      <c r="AD265" s="1798"/>
      <c r="AE265" s="1798"/>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535</v>
      </c>
      <c r="E266" s="4"/>
      <c r="F266" s="4"/>
      <c r="G266" s="4"/>
      <c r="H266" s="4"/>
      <c r="I266" s="4"/>
      <c r="J266" s="4"/>
      <c r="K266" s="4"/>
      <c r="L266" s="4"/>
      <c r="M266" s="1485" t="s">
        <v>377</v>
      </c>
      <c r="N266" s="1485"/>
      <c r="O266" s="1485"/>
      <c r="P266" s="1485"/>
      <c r="Q266" s="1485"/>
      <c r="R266" s="1485"/>
      <c r="S266" s="1485"/>
      <c r="T266" s="1485"/>
      <c r="U266" s="204" t="s">
        <v>906</v>
      </c>
      <c r="V266" s="204"/>
      <c r="W266" s="204"/>
      <c r="X266" s="204"/>
      <c r="Y266" s="204"/>
      <c r="Z266" s="204"/>
      <c r="AA266" s="1803" t="s">
        <v>2769</v>
      </c>
      <c r="AB266" s="1797"/>
      <c r="AC266" s="1797"/>
      <c r="AD266" s="1797"/>
      <c r="AE266" s="1797"/>
      <c r="AF266" s="1797"/>
      <c r="AG266" s="1797"/>
      <c r="AH266" s="1797"/>
      <c r="AI266" s="1797"/>
      <c r="AJ266" s="1797"/>
      <c r="AK266" s="1797"/>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876</v>
      </c>
      <c r="D268" s="4" t="s">
        <v>532</v>
      </c>
      <c r="E268" s="4"/>
      <c r="F268" s="4"/>
      <c r="G268" s="4"/>
      <c r="H268" s="4"/>
      <c r="I268" s="4"/>
      <c r="J268" s="4"/>
      <c r="K268" s="4"/>
      <c r="L268" s="4"/>
      <c r="M268" s="1507" t="s">
        <v>2770</v>
      </c>
      <c r="N268" s="1508"/>
      <c r="O268" s="1508"/>
      <c r="P268" s="1508"/>
      <c r="Q268" s="1508"/>
      <c r="R268" s="1508"/>
      <c r="S268" s="1508"/>
      <c r="T268" s="1508"/>
      <c r="U268" s="1508"/>
      <c r="V268" s="1508"/>
      <c r="W268" s="1508"/>
      <c r="X268" s="1508"/>
      <c r="Y268" s="1508"/>
      <c r="Z268" s="1508"/>
      <c r="AA268" s="1508"/>
      <c r="AB268" s="1508"/>
      <c r="AC268" s="1508"/>
      <c r="AD268" s="1508"/>
      <c r="AE268" s="1508"/>
      <c r="AF268" s="1508" t="s">
        <v>2771</v>
      </c>
      <c r="AG268" s="1508"/>
      <c r="AH268" s="1508"/>
      <c r="AI268" s="1508"/>
      <c r="AJ268" s="1508"/>
      <c r="AK268" s="1508"/>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467" t="s">
        <v>2772</v>
      </c>
      <c r="N269" s="1505"/>
      <c r="O269" s="1505"/>
      <c r="P269" s="1505"/>
      <c r="Q269" s="1505"/>
      <c r="R269" s="1505"/>
      <c r="S269" s="1505"/>
      <c r="T269" s="1505"/>
      <c r="U269" s="1505"/>
      <c r="V269" s="1505"/>
      <c r="W269" s="1505"/>
      <c r="X269" s="1505"/>
      <c r="Y269" s="1505"/>
      <c r="Z269" s="1505"/>
      <c r="AA269" s="1505"/>
      <c r="AB269" s="1505"/>
      <c r="AC269" s="1505"/>
      <c r="AD269" s="1505"/>
      <c r="AE269" s="1505"/>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580</v>
      </c>
      <c r="E270" s="4"/>
      <c r="M270" s="1467" t="s">
        <v>67</v>
      </c>
      <c r="N270" s="1505"/>
      <c r="O270" s="1505"/>
      <c r="P270" s="1505"/>
      <c r="Q270" s="1505"/>
      <c r="R270" s="1505"/>
      <c r="S270" s="1505"/>
      <c r="T270" s="1505"/>
      <c r="V270" s="33" t="s">
        <v>86</v>
      </c>
      <c r="W270" s="1442" t="s">
        <v>2648</v>
      </c>
      <c r="X270" s="1473"/>
      <c r="Y270" s="4" t="s">
        <v>583</v>
      </c>
      <c r="AC270" s="1505">
        <v>92507</v>
      </c>
      <c r="AD270" s="1505"/>
      <c r="AE270" s="1505"/>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467" t="s">
        <v>2773</v>
      </c>
      <c r="N271" s="1505"/>
      <c r="O271" s="1505"/>
      <c r="P271" s="1505"/>
      <c r="Q271" s="1505"/>
      <c r="R271" s="1505"/>
      <c r="S271" s="1505"/>
      <c r="T271" s="1505"/>
      <c r="U271" s="1505"/>
      <c r="V271" s="1505"/>
      <c r="W271" s="1505"/>
      <c r="X271" s="1505"/>
      <c r="Y271" s="1505"/>
      <c r="Z271" s="1505"/>
      <c r="AA271" s="1505"/>
      <c r="AB271" s="1505"/>
      <c r="AC271" s="1505"/>
      <c r="AD271" s="1505"/>
      <c r="AE271" s="1505"/>
      <c r="AH271" s="1800">
        <v>1E-4</v>
      </c>
      <c r="AI271" s="1801"/>
      <c r="AJ271" s="1801"/>
      <c r="AK271" s="1801"/>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529" t="s">
        <v>2774</v>
      </c>
      <c r="N272" s="1498"/>
      <c r="O272" s="1498"/>
      <c r="P272" s="1498"/>
      <c r="Q272" s="1498"/>
      <c r="R272" s="1498"/>
      <c r="S272" s="4" t="s">
        <v>206</v>
      </c>
      <c r="T272" s="4"/>
      <c r="U272" s="1473" t="s">
        <v>591</v>
      </c>
      <c r="V272" s="1473"/>
      <c r="W272" s="1473"/>
      <c r="X272" s="4" t="s">
        <v>89</v>
      </c>
      <c r="Z272" s="1498" t="s">
        <v>591</v>
      </c>
      <c r="AA272" s="1498"/>
      <c r="AB272" s="1498"/>
      <c r="AC272" s="1498"/>
      <c r="AD272" s="1498"/>
      <c r="AE272" s="1498"/>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798" t="s">
        <v>2775</v>
      </c>
      <c r="N273" s="1798"/>
      <c r="O273" s="1798"/>
      <c r="P273" s="1798"/>
      <c r="Q273" s="1798"/>
      <c r="R273" s="1798"/>
      <c r="S273" s="1798"/>
      <c r="T273" s="1798"/>
      <c r="U273" s="1798"/>
      <c r="V273" s="1798"/>
      <c r="W273" s="1798"/>
      <c r="X273" s="1798"/>
      <c r="Y273" s="1798"/>
      <c r="Z273" s="1798"/>
      <c r="AA273" s="1799"/>
      <c r="AB273" s="1799"/>
      <c r="AC273" s="1799"/>
      <c r="AD273" s="1799"/>
      <c r="AE273" s="1799"/>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535</v>
      </c>
      <c r="E274" s="4"/>
      <c r="F274" s="4"/>
      <c r="G274" s="4"/>
      <c r="H274" s="4"/>
      <c r="I274" s="4"/>
      <c r="J274" s="4"/>
      <c r="K274" s="4"/>
      <c r="L274" s="4"/>
      <c r="M274" s="1485" t="s">
        <v>534</v>
      </c>
      <c r="N274" s="1485"/>
      <c r="O274" s="1485"/>
      <c r="P274" s="1485"/>
      <c r="Q274" s="1485"/>
      <c r="R274" s="1485"/>
      <c r="S274" s="1485"/>
      <c r="T274" s="1485"/>
      <c r="U274" s="204" t="s">
        <v>906</v>
      </c>
      <c r="V274" s="204"/>
      <c r="W274" s="204"/>
      <c r="X274" s="204"/>
      <c r="Y274" s="204"/>
      <c r="Z274" s="204"/>
      <c r="AA274" s="1804" t="s">
        <v>2776</v>
      </c>
      <c r="AB274" s="1805"/>
      <c r="AC274" s="1805"/>
      <c r="AD274" s="1805"/>
      <c r="AE274" s="1805"/>
      <c r="AF274" s="1805"/>
      <c r="AG274" s="1805"/>
      <c r="AH274" s="1805"/>
      <c r="AI274" s="1805"/>
      <c r="AJ274" s="1805"/>
      <c r="AK274" s="1805"/>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590</v>
      </c>
      <c r="B276" s="4"/>
      <c r="C276" s="2" t="s">
        <v>295</v>
      </c>
      <c r="D276" s="4"/>
      <c r="E276" s="4"/>
      <c r="F276" s="4"/>
      <c r="G276" s="4"/>
      <c r="H276" s="4"/>
      <c r="I276" s="4"/>
      <c r="J276" s="4"/>
      <c r="K276" s="4"/>
      <c r="L276" s="4"/>
      <c r="M276" s="35"/>
      <c r="N276" s="35"/>
      <c r="O276" s="35"/>
      <c r="P276" s="35"/>
      <c r="Q276" s="35"/>
      <c r="T276" s="1802" t="str">
        <f>IFERROR(BO254,"")</f>
        <v/>
      </c>
      <c r="U276" s="1802"/>
      <c r="V276" s="1802"/>
      <c r="W276" s="1802"/>
      <c r="X276" s="1802"/>
      <c r="Z276" s="307" t="s">
        <v>954</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 customHeight="1">
      <c r="A279" s="4"/>
      <c r="B279" s="36">
        <v>0</v>
      </c>
      <c r="D279" s="1505" t="s">
        <v>280</v>
      </c>
      <c r="E279" s="1505"/>
      <c r="F279" s="1505"/>
      <c r="G279" s="1505"/>
      <c r="H279" s="1505"/>
      <c r="J279" t="s">
        <v>279</v>
      </c>
      <c r="X279" s="1706"/>
      <c r="Y279" s="1706"/>
      <c r="Z279" s="1706"/>
      <c r="AA279" s="1706"/>
      <c r="AB279" s="1706"/>
      <c r="AC279" s="1706"/>
      <c r="AU279" s="3"/>
      <c r="AV279" s="3"/>
      <c r="AW279" s="3"/>
      <c r="AX279" s="3"/>
      <c r="AY279" s="3"/>
    </row>
    <row r="280" spans="1:51" ht="12.9"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296</v>
      </c>
      <c r="E283" s="4"/>
      <c r="F283" s="4"/>
      <c r="G283" s="4"/>
      <c r="H283" s="4"/>
      <c r="I283" s="4"/>
      <c r="J283" s="4"/>
      <c r="K283" s="4"/>
      <c r="L283" s="1507" t="s">
        <v>2652</v>
      </c>
      <c r="M283" s="1508"/>
      <c r="N283" s="1508"/>
      <c r="O283" s="1508"/>
      <c r="P283" s="1508"/>
      <c r="Q283" s="1508"/>
      <c r="R283" s="1508"/>
      <c r="S283" s="1508"/>
      <c r="T283" s="1508"/>
      <c r="U283" s="1508"/>
      <c r="V283" s="1508"/>
      <c r="W283" s="1508"/>
      <c r="X283" s="1508"/>
      <c r="Y283" s="1508"/>
      <c r="Z283" s="1508"/>
      <c r="AA283" s="1508"/>
      <c r="AB283" s="1508"/>
      <c r="AC283" s="1508"/>
      <c r="AD283" s="1508"/>
      <c r="AE283" s="1508"/>
      <c r="AF283" s="1508"/>
      <c r="AG283" s="1508"/>
      <c r="AH283" s="1508"/>
      <c r="AI283" s="1508"/>
      <c r="AJ283" s="1508"/>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67" t="s">
        <v>2647</v>
      </c>
      <c r="M284" s="1505"/>
      <c r="N284" s="1505"/>
      <c r="O284" s="1505"/>
      <c r="P284" s="1505"/>
      <c r="Q284" s="1505"/>
      <c r="R284" s="1505"/>
      <c r="S284" s="1505"/>
      <c r="T284" s="1505"/>
      <c r="U284" s="1505"/>
      <c r="V284" s="1505"/>
      <c r="W284" s="1505"/>
      <c r="X284" s="1505"/>
      <c r="Y284" s="1505"/>
      <c r="Z284" s="1505"/>
      <c r="AA284" s="1505"/>
      <c r="AB284" s="1505"/>
      <c r="AC284" s="1505"/>
      <c r="AD284" s="1505"/>
      <c r="AK284" s="3"/>
      <c r="AL284" s="3"/>
      <c r="AM284" s="3"/>
      <c r="AN284" s="3"/>
      <c r="AO284" s="3"/>
      <c r="AP284" s="3"/>
      <c r="AQ284" s="3"/>
      <c r="AR284" s="3"/>
      <c r="AS284" s="3"/>
      <c r="AT284" s="3"/>
      <c r="AU284" s="3"/>
      <c r="AV284" s="3"/>
      <c r="AW284" s="3"/>
      <c r="AX284" s="3"/>
      <c r="AY284" s="3"/>
    </row>
    <row r="285" spans="1:51" ht="12.9" customHeight="1">
      <c r="D285" s="4" t="s">
        <v>580</v>
      </c>
      <c r="E285" s="4"/>
      <c r="L285" s="1467" t="s">
        <v>729</v>
      </c>
      <c r="M285" s="1505"/>
      <c r="N285" s="1505"/>
      <c r="O285" s="1505"/>
      <c r="P285" s="1505"/>
      <c r="Q285" s="1505"/>
      <c r="R285" s="1505"/>
      <c r="S285" s="1505"/>
      <c r="U285" s="33" t="s">
        <v>86</v>
      </c>
      <c r="V285" s="1442" t="s">
        <v>2648</v>
      </c>
      <c r="W285" s="1473"/>
      <c r="X285" s="4" t="s">
        <v>583</v>
      </c>
      <c r="AB285" s="1505">
        <v>92127</v>
      </c>
      <c r="AC285" s="1505"/>
      <c r="AD285" s="1505"/>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67" t="s">
        <v>2653</v>
      </c>
      <c r="M286" s="1505"/>
      <c r="N286" s="1505"/>
      <c r="O286" s="1505"/>
      <c r="P286" s="1505"/>
      <c r="Q286" s="1505"/>
      <c r="R286" s="1505"/>
      <c r="S286" s="1505"/>
      <c r="T286" s="1505"/>
      <c r="U286" s="1505"/>
      <c r="V286" s="1505"/>
      <c r="W286" s="1505"/>
      <c r="X286" s="1505"/>
      <c r="Y286" s="1505"/>
      <c r="Z286" s="1505"/>
      <c r="AA286" s="1505"/>
      <c r="AB286" s="1505"/>
      <c r="AC286" s="1505"/>
      <c r="AD286" s="1505"/>
      <c r="AI286" s="4"/>
      <c r="AJ286" s="4"/>
      <c r="AK286" s="3"/>
      <c r="AL286" s="3"/>
      <c r="AM286" s="3"/>
      <c r="AN286" s="3"/>
      <c r="AO286" s="3"/>
      <c r="AP286" s="3"/>
      <c r="AQ286" s="3"/>
      <c r="AR286" s="3"/>
      <c r="AS286" s="3"/>
      <c r="AT286" s="3"/>
    </row>
    <row r="287" spans="1:51" ht="12.9" customHeight="1">
      <c r="D287" s="4" t="s">
        <v>88</v>
      </c>
      <c r="E287" s="4"/>
      <c r="F287" s="4"/>
      <c r="L287" s="1529" t="s">
        <v>2720</v>
      </c>
      <c r="M287" s="1498"/>
      <c r="N287" s="1498"/>
      <c r="O287" s="1498"/>
      <c r="P287" s="1498"/>
      <c r="Q287" s="1498"/>
      <c r="R287" s="4" t="s">
        <v>206</v>
      </c>
      <c r="S287" s="4"/>
      <c r="T287" s="1442" t="s">
        <v>2645</v>
      </c>
      <c r="U287" s="1473"/>
      <c r="V287" s="1473"/>
      <c r="W287" s="4" t="s">
        <v>89</v>
      </c>
      <c r="Y287" s="1529"/>
      <c r="Z287" s="1498"/>
      <c r="AA287" s="1498"/>
      <c r="AB287" s="1498"/>
      <c r="AC287" s="1498"/>
      <c r="AD287" s="1498"/>
    </row>
    <row r="288" spans="1:51" ht="12.9" customHeight="1">
      <c r="D288" s="4" t="s">
        <v>90</v>
      </c>
      <c r="E288" s="4"/>
      <c r="F288" s="4"/>
      <c r="L288" s="1798" t="s">
        <v>2654</v>
      </c>
      <c r="M288" s="1798"/>
      <c r="N288" s="1798"/>
      <c r="O288" s="1798"/>
      <c r="P288" s="1798"/>
      <c r="Q288" s="1798"/>
      <c r="R288" s="1798"/>
      <c r="S288" s="1798"/>
      <c r="T288" s="1798"/>
      <c r="U288" s="1798"/>
      <c r="V288" s="1798"/>
      <c r="W288" s="1798"/>
      <c r="X288" s="1798"/>
      <c r="Y288" s="1798"/>
      <c r="Z288" s="1798"/>
      <c r="AA288" s="1798"/>
      <c r="AB288" s="1798"/>
      <c r="AC288" s="1798"/>
      <c r="AD288" s="1798"/>
      <c r="AF288" s="4"/>
      <c r="AG288" s="4"/>
      <c r="AH288" s="4"/>
      <c r="AI288" s="4"/>
      <c r="AJ288" s="4"/>
      <c r="AU288" s="3"/>
      <c r="AV288" s="3"/>
      <c r="AW288" s="3"/>
      <c r="AX288" s="3"/>
      <c r="AY288" s="3"/>
    </row>
    <row r="289" spans="1:51" ht="12.9" customHeight="1">
      <c r="D289" s="3" t="s">
        <v>623</v>
      </c>
      <c r="E289" s="3"/>
      <c r="F289" s="3"/>
      <c r="G289" s="3"/>
      <c r="H289" s="3"/>
      <c r="I289" s="3"/>
      <c r="L289" s="1442" t="s">
        <v>2655</v>
      </c>
      <c r="M289" s="1442"/>
      <c r="N289" s="1442"/>
      <c r="O289" s="1442"/>
      <c r="P289" s="1442"/>
      <c r="Q289" s="1442"/>
      <c r="R289" s="1442"/>
      <c r="S289" s="1442"/>
      <c r="T289" s="1442"/>
      <c r="U289" s="1442"/>
      <c r="V289" s="1442"/>
      <c r="W289" s="1442"/>
      <c r="X289" s="1442"/>
      <c r="Y289" s="1442"/>
      <c r="Z289" s="1442"/>
      <c r="AA289" s="1442"/>
      <c r="AB289" s="1442"/>
      <c r="AC289" s="1442"/>
      <c r="AD289" s="1442"/>
      <c r="AK289" s="3"/>
      <c r="AL289" s="3"/>
      <c r="AM289" s="3"/>
      <c r="AN289" s="3"/>
      <c r="AO289" s="3"/>
      <c r="AP289" s="3"/>
      <c r="AQ289" s="3"/>
      <c r="AR289" s="3"/>
      <c r="AS289" s="3"/>
      <c r="AT289" s="3"/>
    </row>
    <row r="290" spans="1:51" ht="12.9" customHeight="1">
      <c r="L290" s="22" t="s">
        <v>624</v>
      </c>
      <c r="AU290" s="95"/>
      <c r="AV290" s="95"/>
      <c r="AW290" s="95"/>
      <c r="AX290" s="95"/>
      <c r="AY290" s="95"/>
    </row>
    <row r="291" spans="1:51" ht="12.9" customHeight="1">
      <c r="A291" s="1509" t="s">
        <v>541</v>
      </c>
      <c r="B291" s="1509"/>
      <c r="C291" s="1509"/>
      <c r="D291" s="1509"/>
      <c r="E291" s="1509"/>
      <c r="F291" s="1509"/>
      <c r="G291" s="1509"/>
      <c r="H291" s="1509"/>
      <c r="I291" s="1509"/>
      <c r="J291" s="1509"/>
      <c r="K291" s="1509"/>
      <c r="L291" s="1509"/>
      <c r="M291" s="1509"/>
      <c r="N291" s="1509"/>
      <c r="O291" s="1509"/>
      <c r="P291" s="1509"/>
      <c r="Q291" s="1509"/>
      <c r="R291" s="1509"/>
      <c r="S291" s="1509"/>
      <c r="T291" s="1509"/>
      <c r="U291" s="1509"/>
      <c r="V291" s="1509"/>
      <c r="W291" s="1509"/>
      <c r="X291" s="1509"/>
      <c r="Y291" s="1509"/>
      <c r="Z291" s="1509"/>
      <c r="AA291" s="1509"/>
      <c r="AB291" s="1509"/>
      <c r="AC291" s="1509"/>
      <c r="AD291" s="1509"/>
      <c r="AE291" s="1509"/>
      <c r="AF291" s="1509"/>
      <c r="AG291" s="1509"/>
      <c r="AH291" s="1509"/>
      <c r="AI291" s="1509"/>
      <c r="AJ291" s="1509"/>
      <c r="AK291" s="1509"/>
      <c r="AL291" s="1509"/>
      <c r="AM291" s="1509"/>
      <c r="AN291" s="1509"/>
      <c r="AO291" s="1509"/>
      <c r="AP291" s="1509"/>
      <c r="AQ291" s="1509"/>
      <c r="AR291" s="1509"/>
      <c r="AS291" s="1509"/>
      <c r="AT291" s="1509"/>
      <c r="AU291" s="95"/>
      <c r="AV291" s="95"/>
      <c r="AW291" s="95"/>
      <c r="AX291" s="95"/>
      <c r="AY291" s="95"/>
    </row>
    <row r="292" spans="1:51" ht="12.9" customHeight="1">
      <c r="A292" s="1509"/>
      <c r="B292" s="1509"/>
      <c r="C292" s="1509"/>
      <c r="D292" s="1509"/>
      <c r="E292" s="1509"/>
      <c r="F292" s="1509"/>
      <c r="G292" s="1509"/>
      <c r="H292" s="1509"/>
      <c r="I292" s="1509"/>
      <c r="J292" s="1509"/>
      <c r="K292" s="1509"/>
      <c r="L292" s="1509"/>
      <c r="M292" s="1509"/>
      <c r="N292" s="1509"/>
      <c r="O292" s="1509"/>
      <c r="P292" s="1509"/>
      <c r="Q292" s="1509"/>
      <c r="R292" s="1509"/>
      <c r="S292" s="1509"/>
      <c r="T292" s="1509"/>
      <c r="U292" s="1509"/>
      <c r="V292" s="1509"/>
      <c r="W292" s="1509"/>
      <c r="X292" s="1509"/>
      <c r="Y292" s="1509"/>
      <c r="Z292" s="1509"/>
      <c r="AA292" s="1509"/>
      <c r="AB292" s="1509"/>
      <c r="AC292" s="1509"/>
      <c r="AD292" s="1509"/>
      <c r="AE292" s="1509"/>
      <c r="AF292" s="1509"/>
      <c r="AG292" s="1509"/>
      <c r="AH292" s="1509"/>
      <c r="AI292" s="1509"/>
      <c r="AJ292" s="1509"/>
      <c r="AK292" s="1509"/>
      <c r="AL292" s="1509"/>
      <c r="AM292" s="1509"/>
      <c r="AN292" s="1509"/>
      <c r="AO292" s="1509"/>
      <c r="AP292" s="1509"/>
      <c r="AQ292" s="1509"/>
      <c r="AR292" s="1509"/>
      <c r="AS292" s="1509"/>
      <c r="AT292" s="1509"/>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626</v>
      </c>
      <c r="C296" s="3"/>
      <c r="D296" s="3"/>
      <c r="E296" s="3"/>
      <c r="F296" s="3"/>
      <c r="H296" s="1468" t="str">
        <f>L283</f>
        <v>Affirmed Housing Group, Inc.</v>
      </c>
      <c r="I296" s="1468"/>
      <c r="J296" s="1468"/>
      <c r="K296" s="1468"/>
      <c r="L296" s="1468"/>
      <c r="M296" s="1468"/>
      <c r="N296" s="1468"/>
      <c r="O296" s="1468"/>
      <c r="P296" s="1468"/>
      <c r="Q296" s="1468"/>
      <c r="R296" s="1468"/>
      <c r="T296" s="3" t="s">
        <v>567</v>
      </c>
      <c r="V296" s="3"/>
      <c r="W296" s="3"/>
      <c r="X296" s="3"/>
      <c r="Y296" s="3"/>
      <c r="AA296" s="1467" t="s">
        <v>2667</v>
      </c>
      <c r="AB296" s="1468"/>
      <c r="AC296" s="1468"/>
      <c r="AD296" s="1468"/>
      <c r="AE296" s="1468"/>
      <c r="AF296" s="1468"/>
      <c r="AG296" s="1468"/>
      <c r="AH296" s="1468"/>
      <c r="AI296" s="1468"/>
      <c r="AJ296" s="1468"/>
      <c r="AK296" s="1468"/>
    </row>
    <row r="297" spans="1:51" ht="12.9" customHeight="1">
      <c r="B297" s="3" t="s">
        <v>471</v>
      </c>
      <c r="C297" s="3"/>
      <c r="D297" s="3"/>
      <c r="E297" s="3"/>
      <c r="F297" s="3"/>
      <c r="H297" s="1485" t="str">
        <f>L284</f>
        <v>11673 George Cooke Express Drive</v>
      </c>
      <c r="I297" s="1485"/>
      <c r="J297" s="1485"/>
      <c r="K297" s="1485"/>
      <c r="L297" s="1485"/>
      <c r="M297" s="1485"/>
      <c r="N297" s="1485"/>
      <c r="O297" s="1485"/>
      <c r="P297" s="1485"/>
      <c r="Q297" s="1485"/>
      <c r="R297" s="1485"/>
      <c r="T297" s="3" t="s">
        <v>471</v>
      </c>
      <c r="V297" s="3"/>
      <c r="W297" s="3"/>
      <c r="X297" s="3"/>
      <c r="Y297" s="3"/>
      <c r="AA297" s="1442" t="s">
        <v>2668</v>
      </c>
      <c r="AB297" s="1485"/>
      <c r="AC297" s="1485"/>
      <c r="AD297" s="1485"/>
      <c r="AE297" s="1485"/>
      <c r="AF297" s="1485"/>
      <c r="AG297" s="1485"/>
      <c r="AH297" s="1485"/>
      <c r="AI297" s="1485"/>
      <c r="AJ297" s="1485"/>
      <c r="AK297" s="1485"/>
    </row>
    <row r="298" spans="1:51" ht="12.9" customHeight="1">
      <c r="B298" s="3" t="s">
        <v>472</v>
      </c>
      <c r="C298" s="3"/>
      <c r="D298" s="3"/>
      <c r="E298" s="3"/>
      <c r="F298" s="3"/>
      <c r="H298" s="1442" t="s">
        <v>2656</v>
      </c>
      <c r="I298" s="1485"/>
      <c r="J298" s="1485"/>
      <c r="K298" s="1485"/>
      <c r="L298" s="1485"/>
      <c r="M298" s="1485"/>
      <c r="N298" s="1485"/>
      <c r="O298" s="1485"/>
      <c r="P298" s="1485"/>
      <c r="Q298" s="1485"/>
      <c r="R298" s="1485"/>
      <c r="T298" s="3" t="s">
        <v>75</v>
      </c>
      <c r="V298" s="3"/>
      <c r="W298" s="3"/>
      <c r="X298" s="3"/>
      <c r="Y298" s="3"/>
      <c r="AA298" s="1442" t="s">
        <v>2669</v>
      </c>
      <c r="AB298" s="1485"/>
      <c r="AC298" s="1485"/>
      <c r="AD298" s="1485"/>
      <c r="AE298" s="1485"/>
      <c r="AF298" s="1485"/>
      <c r="AG298" s="1485"/>
      <c r="AH298" s="1485"/>
      <c r="AI298" s="1485"/>
      <c r="AJ298" s="1485"/>
      <c r="AK298" s="1485"/>
    </row>
    <row r="299" spans="1:51" ht="12.9" customHeight="1">
      <c r="B299" s="3" t="s">
        <v>87</v>
      </c>
      <c r="C299" s="3"/>
      <c r="D299" s="3"/>
      <c r="E299" s="3"/>
      <c r="F299" s="3"/>
      <c r="H299" s="1485" t="str">
        <f>L286</f>
        <v>Martin Rubalcava</v>
      </c>
      <c r="I299" s="1485"/>
      <c r="J299" s="1485"/>
      <c r="K299" s="1485"/>
      <c r="L299" s="1485"/>
      <c r="M299" s="1485"/>
      <c r="N299" s="1485"/>
      <c r="O299" s="1485"/>
      <c r="P299" s="1485"/>
      <c r="Q299" s="1485"/>
      <c r="R299" s="1485"/>
      <c r="T299" s="3" t="s">
        <v>87</v>
      </c>
      <c r="V299" s="3"/>
      <c r="W299" s="3"/>
      <c r="X299" s="3"/>
      <c r="Y299" s="3"/>
      <c r="AA299" s="1442" t="s">
        <v>2670</v>
      </c>
      <c r="AB299" s="1485"/>
      <c r="AC299" s="1485"/>
      <c r="AD299" s="1485"/>
      <c r="AE299" s="1485"/>
      <c r="AF299" s="1485"/>
      <c r="AG299" s="1485"/>
      <c r="AH299" s="1485"/>
      <c r="AI299" s="1485"/>
      <c r="AJ299" s="1485"/>
      <c r="AK299" s="1485"/>
    </row>
    <row r="300" spans="1:51" ht="12.9" customHeight="1">
      <c r="B300" s="3" t="s">
        <v>88</v>
      </c>
      <c r="C300" s="3"/>
      <c r="D300" s="3"/>
      <c r="E300" s="3"/>
      <c r="F300" s="3"/>
      <c r="G300" s="3"/>
      <c r="H300" s="1511" t="str">
        <f>L287</f>
        <v>916-335-4214</v>
      </c>
      <c r="I300" s="1511"/>
      <c r="J300" s="1511"/>
      <c r="K300" s="1511"/>
      <c r="L300" s="1511"/>
      <c r="M300" s="1511"/>
      <c r="N300" s="4" t="s">
        <v>206</v>
      </c>
      <c r="O300" s="4"/>
      <c r="P300" s="1505"/>
      <c r="Q300" s="1505"/>
      <c r="R300" s="1505"/>
      <c r="S300" s="3"/>
      <c r="T300" s="3" t="s">
        <v>88</v>
      </c>
      <c r="V300" s="3"/>
      <c r="W300" s="3"/>
      <c r="X300" s="3"/>
      <c r="Y300" s="3"/>
      <c r="AA300" s="1510" t="s">
        <v>2671</v>
      </c>
      <c r="AB300" s="1511"/>
      <c r="AC300" s="1511"/>
      <c r="AD300" s="1511"/>
      <c r="AE300" s="1511"/>
      <c r="AF300" s="1511"/>
      <c r="AG300" s="4" t="s">
        <v>206</v>
      </c>
      <c r="AH300" s="4"/>
      <c r="AI300" s="1505"/>
      <c r="AJ300" s="1505"/>
      <c r="AK300" s="1505"/>
    </row>
    <row r="301" spans="1:51" ht="12.9" customHeight="1">
      <c r="B301" s="3" t="s">
        <v>89</v>
      </c>
      <c r="C301" s="3"/>
      <c r="D301" s="3"/>
      <c r="E301" s="3"/>
      <c r="F301" s="3"/>
      <c r="G301" s="3"/>
      <c r="H301" s="1498">
        <f>Y287</f>
        <v>0</v>
      </c>
      <c r="I301" s="1498"/>
      <c r="J301" s="1498"/>
      <c r="K301" s="1498"/>
      <c r="L301" s="1498"/>
      <c r="M301" s="1498"/>
      <c r="N301" s="4"/>
      <c r="O301" s="4"/>
      <c r="P301" s="35"/>
      <c r="Q301" s="35"/>
      <c r="R301" s="35"/>
      <c r="S301" s="3"/>
      <c r="T301" s="3" t="s">
        <v>89</v>
      </c>
      <c r="V301" s="3"/>
      <c r="W301" s="3"/>
      <c r="X301" s="3"/>
      <c r="Y301" s="3"/>
      <c r="AA301" s="1529" t="s">
        <v>2645</v>
      </c>
      <c r="AB301" s="1498"/>
      <c r="AC301" s="1498"/>
      <c r="AD301" s="1498"/>
      <c r="AE301" s="1498"/>
      <c r="AF301" s="1498"/>
      <c r="AG301" s="4"/>
      <c r="AH301" s="4"/>
      <c r="AI301" s="35"/>
      <c r="AJ301" s="35"/>
      <c r="AK301" s="35"/>
    </row>
    <row r="302" spans="1:51" ht="12.9" customHeight="1">
      <c r="B302" s="3" t="s">
        <v>76</v>
      </c>
      <c r="C302" s="3"/>
      <c r="D302" s="3"/>
      <c r="E302" s="3"/>
      <c r="F302" s="3"/>
      <c r="G302" s="3"/>
      <c r="H302" s="1485" t="str">
        <f>L288</f>
        <v>martin@affirmedhousing.com</v>
      </c>
      <c r="I302" s="1485"/>
      <c r="J302" s="1485"/>
      <c r="K302" s="1485"/>
      <c r="L302" s="1485"/>
      <c r="M302" s="1485"/>
      <c r="N302" s="1468"/>
      <c r="O302" s="1468"/>
      <c r="P302" s="1468"/>
      <c r="Q302" s="1468"/>
      <c r="R302" s="1468"/>
      <c r="S302" s="3"/>
      <c r="T302" s="3" t="s">
        <v>76</v>
      </c>
      <c r="V302" s="3"/>
      <c r="W302" s="3"/>
      <c r="X302" s="3"/>
      <c r="Y302" s="3"/>
      <c r="AA302" s="1442" t="s">
        <v>2672</v>
      </c>
      <c r="AB302" s="1485"/>
      <c r="AC302" s="1485"/>
      <c r="AD302" s="1485"/>
      <c r="AE302" s="1485"/>
      <c r="AF302" s="1485"/>
      <c r="AG302" s="1468"/>
      <c r="AH302" s="1468"/>
      <c r="AI302" s="1468"/>
      <c r="AJ302" s="1468"/>
      <c r="AK302" s="1468"/>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323</v>
      </c>
      <c r="C304" s="3"/>
      <c r="D304" s="3"/>
      <c r="E304" s="3"/>
      <c r="F304" s="3"/>
      <c r="H304" s="1467" t="s">
        <v>2657</v>
      </c>
      <c r="I304" s="1468"/>
      <c r="J304" s="1468"/>
      <c r="K304" s="1468"/>
      <c r="L304" s="1468"/>
      <c r="M304" s="1468"/>
      <c r="N304" s="1468"/>
      <c r="O304" s="1468"/>
      <c r="P304" s="1468"/>
      <c r="Q304" s="1468"/>
      <c r="R304" s="1468"/>
      <c r="T304" s="3" t="s">
        <v>364</v>
      </c>
      <c r="V304" s="3"/>
      <c r="W304" s="3"/>
      <c r="X304" s="3"/>
      <c r="Y304" s="3"/>
      <c r="AA304" s="1467" t="s">
        <v>2724</v>
      </c>
      <c r="AB304" s="1468"/>
      <c r="AC304" s="1468"/>
      <c r="AD304" s="1468"/>
      <c r="AE304" s="1468"/>
      <c r="AF304" s="1468"/>
      <c r="AG304" s="1468"/>
      <c r="AH304" s="1468"/>
      <c r="AI304" s="1468"/>
      <c r="AJ304" s="1468"/>
      <c r="AK304" s="1468"/>
    </row>
    <row r="305" spans="2:72" ht="12.9" customHeight="1">
      <c r="B305" s="3" t="s">
        <v>471</v>
      </c>
      <c r="C305" s="3"/>
      <c r="D305" s="3"/>
      <c r="E305" s="3"/>
      <c r="F305" s="3"/>
      <c r="H305" s="1442" t="s">
        <v>2784</v>
      </c>
      <c r="I305" s="1485"/>
      <c r="J305" s="1485"/>
      <c r="K305" s="1485"/>
      <c r="L305" s="1485"/>
      <c r="M305" s="1485"/>
      <c r="N305" s="1485"/>
      <c r="O305" s="1485"/>
      <c r="P305" s="1485"/>
      <c r="Q305" s="1485"/>
      <c r="R305" s="1485"/>
      <c r="T305" s="3" t="s">
        <v>471</v>
      </c>
      <c r="V305" s="3"/>
      <c r="W305" s="3"/>
      <c r="X305" s="3"/>
      <c r="Y305" s="3"/>
      <c r="AA305" s="1485"/>
      <c r="AB305" s="1485"/>
      <c r="AC305" s="1485"/>
      <c r="AD305" s="1485"/>
      <c r="AE305" s="1485"/>
      <c r="AF305" s="1485"/>
      <c r="AG305" s="1485"/>
      <c r="AH305" s="1485"/>
      <c r="AI305" s="1485"/>
      <c r="AJ305" s="1485"/>
      <c r="AK305" s="148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472</v>
      </c>
      <c r="C306" s="3"/>
      <c r="D306" s="3"/>
      <c r="E306" s="3"/>
      <c r="F306" s="3"/>
      <c r="H306" s="1442" t="s">
        <v>2658</v>
      </c>
      <c r="I306" s="1485"/>
      <c r="J306" s="1485"/>
      <c r="K306" s="1485"/>
      <c r="L306" s="1485"/>
      <c r="M306" s="1485"/>
      <c r="N306" s="1485"/>
      <c r="O306" s="1485"/>
      <c r="P306" s="1485"/>
      <c r="Q306" s="1485"/>
      <c r="R306" s="1485"/>
      <c r="T306" s="3" t="s">
        <v>75</v>
      </c>
      <c r="V306" s="3"/>
      <c r="W306" s="3"/>
      <c r="X306" s="3"/>
      <c r="Y306" s="3"/>
      <c r="AA306" s="1485"/>
      <c r="AB306" s="1485"/>
      <c r="AC306" s="1485"/>
      <c r="AD306" s="1485"/>
      <c r="AE306" s="1485"/>
      <c r="AF306" s="1485"/>
      <c r="AG306" s="1485"/>
      <c r="AH306" s="1485"/>
      <c r="AI306" s="1485"/>
      <c r="AJ306" s="1485"/>
      <c r="AK306" s="148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42" t="s">
        <v>2659</v>
      </c>
      <c r="I307" s="1485"/>
      <c r="J307" s="1485"/>
      <c r="K307" s="1485"/>
      <c r="L307" s="1485"/>
      <c r="M307" s="1485"/>
      <c r="N307" s="1485"/>
      <c r="O307" s="1485"/>
      <c r="P307" s="1485"/>
      <c r="Q307" s="1485"/>
      <c r="R307" s="1485"/>
      <c r="T307" s="3" t="s">
        <v>87</v>
      </c>
      <c r="V307" s="3"/>
      <c r="W307" s="3"/>
      <c r="X307" s="3"/>
      <c r="Y307" s="3"/>
      <c r="AA307" s="1485"/>
      <c r="AB307" s="1485"/>
      <c r="AC307" s="1485"/>
      <c r="AD307" s="1485"/>
      <c r="AE307" s="1485"/>
      <c r="AF307" s="1485"/>
      <c r="AG307" s="1485"/>
      <c r="AH307" s="1485"/>
      <c r="AI307" s="1485"/>
      <c r="AJ307" s="1485"/>
      <c r="AK307" s="1485"/>
    </row>
    <row r="308" spans="2:72" ht="12.9" customHeight="1">
      <c r="B308" s="3" t="s">
        <v>88</v>
      </c>
      <c r="C308" s="3"/>
      <c r="D308" s="3"/>
      <c r="E308" s="3"/>
      <c r="F308" s="3"/>
      <c r="G308" s="3"/>
      <c r="H308" s="1510" t="s">
        <v>2660</v>
      </c>
      <c r="I308" s="1511"/>
      <c r="J308" s="1511"/>
      <c r="K308" s="1511"/>
      <c r="L308" s="1511"/>
      <c r="M308" s="1511"/>
      <c r="N308" s="4" t="s">
        <v>206</v>
      </c>
      <c r="O308" s="4"/>
      <c r="P308" s="1505"/>
      <c r="Q308" s="1505"/>
      <c r="R308" s="1505"/>
      <c r="S308" s="3"/>
      <c r="T308" s="3" t="s">
        <v>88</v>
      </c>
      <c r="V308" s="3"/>
      <c r="W308" s="3"/>
      <c r="X308" s="3"/>
      <c r="Y308" s="3"/>
      <c r="AA308" s="1511"/>
      <c r="AB308" s="1511"/>
      <c r="AC308" s="1511"/>
      <c r="AD308" s="1511"/>
      <c r="AE308" s="1511"/>
      <c r="AF308" s="1511"/>
      <c r="AG308" s="4" t="s">
        <v>206</v>
      </c>
      <c r="AH308" s="4"/>
      <c r="AI308" s="1505"/>
      <c r="AJ308" s="1505"/>
      <c r="AK308" s="1505"/>
    </row>
    <row r="309" spans="2:72" ht="12.9" customHeight="1">
      <c r="B309" s="3" t="s">
        <v>89</v>
      </c>
      <c r="C309" s="3"/>
      <c r="D309" s="3"/>
      <c r="E309" s="3"/>
      <c r="F309" s="3"/>
      <c r="G309" s="3"/>
      <c r="H309" s="1529" t="s">
        <v>2661</v>
      </c>
      <c r="I309" s="1498"/>
      <c r="J309" s="1498"/>
      <c r="K309" s="1498"/>
      <c r="L309" s="1498"/>
      <c r="M309" s="1498"/>
      <c r="N309" s="4"/>
      <c r="O309" s="4"/>
      <c r="P309" s="35"/>
      <c r="Q309" s="35"/>
      <c r="R309" s="35"/>
      <c r="S309" s="3"/>
      <c r="T309" s="3" t="s">
        <v>89</v>
      </c>
      <c r="V309" s="3"/>
      <c r="W309" s="3"/>
      <c r="X309" s="3"/>
      <c r="Y309" s="3"/>
      <c r="AA309" s="1498"/>
      <c r="AB309" s="1498"/>
      <c r="AC309" s="1498"/>
      <c r="AD309" s="1498"/>
      <c r="AE309" s="1498"/>
      <c r="AF309" s="1498"/>
      <c r="AG309" s="4"/>
      <c r="AH309" s="4"/>
      <c r="AI309" s="35"/>
      <c r="AJ309" s="35"/>
      <c r="AK309" s="35"/>
    </row>
    <row r="310" spans="2:72" ht="12.9" customHeight="1">
      <c r="B310" s="3" t="s">
        <v>76</v>
      </c>
      <c r="C310" s="3"/>
      <c r="D310" s="3"/>
      <c r="E310" s="3"/>
      <c r="F310" s="3"/>
      <c r="G310" s="3"/>
      <c r="H310" s="1442" t="s">
        <v>2662</v>
      </c>
      <c r="I310" s="1485"/>
      <c r="J310" s="1485"/>
      <c r="K310" s="1485"/>
      <c r="L310" s="1485"/>
      <c r="M310" s="1485"/>
      <c r="N310" s="1468"/>
      <c r="O310" s="1468"/>
      <c r="P310" s="1468"/>
      <c r="Q310" s="1468"/>
      <c r="R310" s="1468"/>
      <c r="S310" s="3"/>
      <c r="T310" s="3" t="s">
        <v>76</v>
      </c>
      <c r="V310" s="3"/>
      <c r="W310" s="3"/>
      <c r="X310" s="3"/>
      <c r="Y310" s="3"/>
      <c r="AA310" s="1485"/>
      <c r="AB310" s="1485"/>
      <c r="AC310" s="1485"/>
      <c r="AD310" s="1485"/>
      <c r="AE310" s="1485"/>
      <c r="AF310" s="1485"/>
      <c r="AG310" s="1468"/>
      <c r="AH310" s="1468"/>
      <c r="AI310" s="1468"/>
      <c r="AJ310" s="1468"/>
      <c r="AK310" s="1468"/>
    </row>
    <row r="311" spans="2:72" ht="12.9" customHeight="1"/>
    <row r="312" spans="2:72" ht="12.9" customHeight="1">
      <c r="B312" s="3" t="s">
        <v>77</v>
      </c>
      <c r="C312" s="3"/>
      <c r="D312" s="3"/>
      <c r="E312" s="3"/>
      <c r="F312" s="3"/>
      <c r="H312" s="1467" t="s">
        <v>2663</v>
      </c>
      <c r="I312" s="1468"/>
      <c r="J312" s="1468"/>
      <c r="K312" s="1468"/>
      <c r="L312" s="1468"/>
      <c r="M312" s="1468"/>
      <c r="N312" s="1468"/>
      <c r="O312" s="1468"/>
      <c r="P312" s="1468"/>
      <c r="Q312" s="1468"/>
      <c r="R312" s="1468"/>
      <c r="T312" s="4" t="s">
        <v>878</v>
      </c>
      <c r="V312" s="3"/>
      <c r="W312" s="3"/>
      <c r="X312" s="3"/>
      <c r="Y312" s="3"/>
      <c r="AA312" s="1467" t="s">
        <v>2673</v>
      </c>
      <c r="AB312" s="1468"/>
      <c r="AC312" s="1468"/>
      <c r="AD312" s="1468"/>
      <c r="AE312" s="1468"/>
      <c r="AF312" s="1468"/>
      <c r="AG312" s="1468"/>
      <c r="AH312" s="1468"/>
      <c r="AI312" s="1468"/>
      <c r="AJ312" s="1468"/>
      <c r="AK312" s="1468"/>
    </row>
    <row r="313" spans="2:72" ht="13.2" customHeight="1">
      <c r="B313" s="3" t="s">
        <v>471</v>
      </c>
      <c r="C313" s="3"/>
      <c r="D313" s="3"/>
      <c r="E313" s="3"/>
      <c r="F313" s="3"/>
      <c r="H313" s="1442" t="s">
        <v>2782</v>
      </c>
      <c r="I313" s="1485"/>
      <c r="J313" s="1485"/>
      <c r="K313" s="1485"/>
      <c r="L313" s="1485"/>
      <c r="M313" s="1485"/>
      <c r="N313" s="1485"/>
      <c r="O313" s="1485"/>
      <c r="P313" s="1485"/>
      <c r="Q313" s="1485"/>
      <c r="R313" s="1485"/>
      <c r="T313" s="3" t="s">
        <v>471</v>
      </c>
      <c r="V313" s="3"/>
      <c r="W313" s="3"/>
      <c r="X313" s="3"/>
      <c r="Y313" s="3"/>
      <c r="AA313" s="1442" t="s">
        <v>2674</v>
      </c>
      <c r="AB313" s="1485"/>
      <c r="AC313" s="1485"/>
      <c r="AD313" s="1485"/>
      <c r="AE313" s="1485"/>
      <c r="AF313" s="1485"/>
      <c r="AG313" s="1485"/>
      <c r="AH313" s="1485"/>
      <c r="AI313" s="1485"/>
      <c r="AJ313" s="1485"/>
      <c r="AK313" s="1485"/>
    </row>
    <row r="314" spans="2:72" ht="12.9" customHeight="1">
      <c r="B314" s="3" t="s">
        <v>472</v>
      </c>
      <c r="C314" s="3"/>
      <c r="D314" s="3"/>
      <c r="E314" s="3"/>
      <c r="F314" s="3"/>
      <c r="H314" s="1442" t="s">
        <v>2783</v>
      </c>
      <c r="I314" s="1485"/>
      <c r="J314" s="1485"/>
      <c r="K314" s="1485"/>
      <c r="L314" s="1485"/>
      <c r="M314" s="1485"/>
      <c r="N314" s="1485"/>
      <c r="O314" s="1485"/>
      <c r="P314" s="1485"/>
      <c r="Q314" s="1485"/>
      <c r="R314" s="1485"/>
      <c r="T314" s="3" t="s">
        <v>75</v>
      </c>
      <c r="V314" s="3"/>
      <c r="W314" s="3"/>
      <c r="X314" s="3"/>
      <c r="Y314" s="3"/>
      <c r="AA314" s="1442" t="s">
        <v>2675</v>
      </c>
      <c r="AB314" s="1485"/>
      <c r="AC314" s="1485"/>
      <c r="AD314" s="1485"/>
      <c r="AE314" s="1485"/>
      <c r="AF314" s="1485"/>
      <c r="AG314" s="1485"/>
      <c r="AH314" s="1485"/>
      <c r="AI314" s="1485"/>
      <c r="AJ314" s="1485"/>
      <c r="AK314" s="1485"/>
    </row>
    <row r="315" spans="2:72" ht="12.9" customHeight="1">
      <c r="B315" s="3" t="s">
        <v>87</v>
      </c>
      <c r="C315" s="3"/>
      <c r="D315" s="3"/>
      <c r="E315" s="3"/>
      <c r="F315" s="3"/>
      <c r="H315" s="1442" t="s">
        <v>2664</v>
      </c>
      <c r="I315" s="1485"/>
      <c r="J315" s="1485"/>
      <c r="K315" s="1485"/>
      <c r="L315" s="1485"/>
      <c r="M315" s="1485"/>
      <c r="N315" s="1485"/>
      <c r="O315" s="1485"/>
      <c r="P315" s="1485"/>
      <c r="Q315" s="1485"/>
      <c r="R315" s="1485"/>
      <c r="T315" s="3" t="s">
        <v>87</v>
      </c>
      <c r="V315" s="3"/>
      <c r="W315" s="3"/>
      <c r="X315" s="3"/>
      <c r="Y315" s="3"/>
      <c r="AA315" s="1442" t="s">
        <v>2677</v>
      </c>
      <c r="AB315" s="1485"/>
      <c r="AC315" s="1485"/>
      <c r="AD315" s="1485"/>
      <c r="AE315" s="1485"/>
      <c r="AF315" s="1485"/>
      <c r="AG315" s="1485"/>
      <c r="AH315" s="1485"/>
      <c r="AI315" s="1485"/>
      <c r="AJ315" s="1485"/>
      <c r="AK315" s="1485"/>
    </row>
    <row r="316" spans="2:72" ht="12.9" customHeight="1">
      <c r="B316" s="3" t="s">
        <v>88</v>
      </c>
      <c r="C316" s="3"/>
      <c r="D316" s="3"/>
      <c r="E316" s="3"/>
      <c r="F316" s="3"/>
      <c r="G316" s="3"/>
      <c r="H316" s="1510" t="s">
        <v>2665</v>
      </c>
      <c r="I316" s="1511"/>
      <c r="J316" s="1511"/>
      <c r="K316" s="1511"/>
      <c r="L316" s="1511"/>
      <c r="M316" s="1511"/>
      <c r="N316" s="4" t="s">
        <v>206</v>
      </c>
      <c r="O316" s="4"/>
      <c r="P316" s="1505"/>
      <c r="Q316" s="1505"/>
      <c r="R316" s="1505"/>
      <c r="S316" s="3"/>
      <c r="T316" s="3" t="s">
        <v>88</v>
      </c>
      <c r="V316" s="3"/>
      <c r="W316" s="3"/>
      <c r="X316" s="3"/>
      <c r="Y316" s="3"/>
      <c r="AA316" s="1510" t="s">
        <v>2676</v>
      </c>
      <c r="AB316" s="1511"/>
      <c r="AC316" s="1511"/>
      <c r="AD316" s="1511"/>
      <c r="AE316" s="1511"/>
      <c r="AF316" s="1511"/>
      <c r="AG316" s="4" t="s">
        <v>206</v>
      </c>
      <c r="AH316" s="4"/>
      <c r="AI316" s="1505"/>
      <c r="AJ316" s="1505"/>
      <c r="AK316" s="1505"/>
    </row>
    <row r="317" spans="2:72" ht="12.9" customHeight="1">
      <c r="B317" s="3" t="s">
        <v>89</v>
      </c>
      <c r="C317" s="3"/>
      <c r="D317" s="3"/>
      <c r="E317" s="3"/>
      <c r="F317" s="3"/>
      <c r="G317" s="3"/>
      <c r="H317" s="1529" t="s">
        <v>2645</v>
      </c>
      <c r="I317" s="1498"/>
      <c r="J317" s="1498"/>
      <c r="K317" s="1498"/>
      <c r="L317" s="1498"/>
      <c r="M317" s="1498"/>
      <c r="N317" s="4"/>
      <c r="O317" s="4"/>
      <c r="P317" s="35"/>
      <c r="Q317" s="35"/>
      <c r="R317" s="35"/>
      <c r="S317" s="3"/>
      <c r="T317" s="3" t="s">
        <v>89</v>
      </c>
      <c r="V317" s="3"/>
      <c r="W317" s="3"/>
      <c r="X317" s="3"/>
      <c r="Y317" s="3"/>
      <c r="AA317" s="1529" t="s">
        <v>2645</v>
      </c>
      <c r="AB317" s="1498"/>
      <c r="AC317" s="1498"/>
      <c r="AD317" s="1498"/>
      <c r="AE317" s="1498"/>
      <c r="AF317" s="1498"/>
      <c r="AG317" s="4"/>
      <c r="AH317" s="4"/>
      <c r="AI317" s="35"/>
      <c r="AJ317" s="35"/>
      <c r="AK317" s="35"/>
    </row>
    <row r="318" spans="2:72" ht="12.9" customHeight="1">
      <c r="B318" s="3" t="s">
        <v>76</v>
      </c>
      <c r="C318" s="3"/>
      <c r="D318" s="3"/>
      <c r="E318" s="3"/>
      <c r="F318" s="3"/>
      <c r="G318" s="3"/>
      <c r="H318" s="1442" t="s">
        <v>2666</v>
      </c>
      <c r="I318" s="1485"/>
      <c r="J318" s="1485"/>
      <c r="K318" s="1485"/>
      <c r="L318" s="1485"/>
      <c r="M318" s="1485"/>
      <c r="N318" s="1468"/>
      <c r="O318" s="1468"/>
      <c r="P318" s="1468"/>
      <c r="Q318" s="1468"/>
      <c r="R318" s="1468"/>
      <c r="S318" s="3"/>
      <c r="T318" s="3" t="s">
        <v>76</v>
      </c>
      <c r="V318" s="3"/>
      <c r="W318" s="3"/>
      <c r="X318" s="3"/>
      <c r="Y318" s="3"/>
      <c r="AA318" s="1442" t="s">
        <v>2678</v>
      </c>
      <c r="AB318" s="1485"/>
      <c r="AC318" s="1485"/>
      <c r="AD318" s="1485"/>
      <c r="AE318" s="1485"/>
      <c r="AF318" s="1485"/>
      <c r="AG318" s="1468"/>
      <c r="AH318" s="1468"/>
      <c r="AI318" s="1468"/>
      <c r="AJ318" s="1468"/>
      <c r="AK318" s="1468"/>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907</v>
      </c>
      <c r="C320" s="3"/>
      <c r="D320" s="3"/>
      <c r="E320" s="3"/>
      <c r="F320" s="3"/>
      <c r="H320" s="1468" t="str">
        <f t="shared" ref="H320:H326" si="2">H312</f>
        <v>Novogradac and Company LLP</v>
      </c>
      <c r="I320" s="1468"/>
      <c r="J320" s="1468"/>
      <c r="K320" s="1468"/>
      <c r="L320" s="1468"/>
      <c r="M320" s="1468"/>
      <c r="N320" s="1468"/>
      <c r="O320" s="1468"/>
      <c r="P320" s="1468"/>
      <c r="Q320" s="1468"/>
      <c r="R320" s="1468"/>
      <c r="S320" s="3"/>
      <c r="T320" s="3" t="s">
        <v>365</v>
      </c>
      <c r="V320" s="3"/>
      <c r="W320" s="3"/>
      <c r="X320" s="3"/>
      <c r="Y320" s="3"/>
      <c r="AA320" s="1467" t="s">
        <v>2797</v>
      </c>
      <c r="AB320" s="1468"/>
      <c r="AC320" s="1468"/>
      <c r="AD320" s="1468"/>
      <c r="AE320" s="1468"/>
      <c r="AF320" s="1468"/>
      <c r="AG320" s="1468"/>
      <c r="AH320" s="1468"/>
      <c r="AI320" s="1468"/>
      <c r="AJ320" s="1468"/>
      <c r="AK320" s="1468"/>
    </row>
    <row r="321" spans="2:37" ht="12.9" customHeight="1">
      <c r="B321" s="3" t="s">
        <v>471</v>
      </c>
      <c r="C321" s="3"/>
      <c r="D321" s="3"/>
      <c r="E321" s="3"/>
      <c r="F321" s="3"/>
      <c r="H321" s="1485" t="str">
        <f t="shared" si="2"/>
        <v>1255 Treat Blvd, Suite 410</v>
      </c>
      <c r="I321" s="1485"/>
      <c r="J321" s="1485"/>
      <c r="K321" s="1485"/>
      <c r="L321" s="1485"/>
      <c r="M321" s="1485"/>
      <c r="N321" s="1485"/>
      <c r="O321" s="1485"/>
      <c r="P321" s="1485"/>
      <c r="Q321" s="1485"/>
      <c r="R321" s="1485"/>
      <c r="S321" s="3"/>
      <c r="T321" s="3" t="s">
        <v>471</v>
      </c>
      <c r="V321" s="3"/>
      <c r="W321" s="3"/>
      <c r="X321" s="3"/>
      <c r="Y321" s="3"/>
      <c r="AA321" s="1442" t="s">
        <v>2799</v>
      </c>
      <c r="AB321" s="1485"/>
      <c r="AC321" s="1485"/>
      <c r="AD321" s="1485"/>
      <c r="AE321" s="1485"/>
      <c r="AF321" s="1485"/>
      <c r="AG321" s="1485"/>
      <c r="AH321" s="1485"/>
      <c r="AI321" s="1485"/>
      <c r="AJ321" s="1485"/>
      <c r="AK321" s="1485"/>
    </row>
    <row r="322" spans="2:37" ht="12.9" customHeight="1">
      <c r="B322" s="3" t="s">
        <v>472</v>
      </c>
      <c r="C322" s="3"/>
      <c r="D322" s="3"/>
      <c r="E322" s="3"/>
      <c r="F322" s="3"/>
      <c r="H322" s="1485" t="str">
        <f t="shared" si="2"/>
        <v>Walnut Creek, Ca 94597</v>
      </c>
      <c r="I322" s="1485"/>
      <c r="J322" s="1485"/>
      <c r="K322" s="1485"/>
      <c r="L322" s="1485"/>
      <c r="M322" s="1485"/>
      <c r="N322" s="1485"/>
      <c r="O322" s="1485"/>
      <c r="P322" s="1485"/>
      <c r="Q322" s="1485"/>
      <c r="R322" s="1485"/>
      <c r="S322" s="3"/>
      <c r="T322" s="3" t="s">
        <v>75</v>
      </c>
      <c r="V322" s="3"/>
      <c r="W322" s="3"/>
      <c r="X322" s="3"/>
      <c r="Y322" s="3"/>
      <c r="AA322" s="1442" t="s">
        <v>2798</v>
      </c>
      <c r="AB322" s="1485"/>
      <c r="AC322" s="1485"/>
      <c r="AD322" s="1485"/>
      <c r="AE322" s="1485"/>
      <c r="AF322" s="1485"/>
      <c r="AG322" s="1485"/>
      <c r="AH322" s="1485"/>
      <c r="AI322" s="1485"/>
      <c r="AJ322" s="1485"/>
      <c r="AK322" s="1485"/>
    </row>
    <row r="323" spans="2:37" ht="12.9" customHeight="1">
      <c r="B323" s="3" t="s">
        <v>87</v>
      </c>
      <c r="C323" s="3"/>
      <c r="D323" s="3"/>
      <c r="E323" s="3"/>
      <c r="F323" s="3"/>
      <c r="H323" s="1485" t="str">
        <f t="shared" si="2"/>
        <v>Sun-Ae Woo</v>
      </c>
      <c r="I323" s="1485"/>
      <c r="J323" s="1485"/>
      <c r="K323" s="1485"/>
      <c r="L323" s="1485"/>
      <c r="M323" s="1485"/>
      <c r="N323" s="1485"/>
      <c r="O323" s="1485"/>
      <c r="P323" s="1485"/>
      <c r="Q323" s="1485"/>
      <c r="R323" s="1485"/>
      <c r="S323" s="3"/>
      <c r="T323" s="3" t="s">
        <v>87</v>
      </c>
      <c r="V323" s="3"/>
      <c r="W323" s="3"/>
      <c r="X323" s="3"/>
      <c r="Y323" s="3"/>
      <c r="AA323" s="1442" t="s">
        <v>2800</v>
      </c>
      <c r="AB323" s="1485"/>
      <c r="AC323" s="1485"/>
      <c r="AD323" s="1485"/>
      <c r="AE323" s="1485"/>
      <c r="AF323" s="1485"/>
      <c r="AG323" s="1485"/>
      <c r="AH323" s="1485"/>
      <c r="AI323" s="1485"/>
      <c r="AJ323" s="1485"/>
      <c r="AK323" s="1485"/>
    </row>
    <row r="324" spans="2:37" ht="12.9" customHeight="1">
      <c r="B324" s="3" t="s">
        <v>88</v>
      </c>
      <c r="C324" s="3"/>
      <c r="D324" s="3"/>
      <c r="E324" s="3"/>
      <c r="F324" s="3"/>
      <c r="G324" s="3"/>
      <c r="H324" s="1511" t="str">
        <f t="shared" si="2"/>
        <v>925-949-4223</v>
      </c>
      <c r="I324" s="1511"/>
      <c r="J324" s="1511"/>
      <c r="K324" s="1511"/>
      <c r="L324" s="1511"/>
      <c r="M324" s="1511"/>
      <c r="N324" s="4" t="s">
        <v>206</v>
      </c>
      <c r="O324" s="4"/>
      <c r="P324" s="1505"/>
      <c r="Q324" s="1505"/>
      <c r="R324" s="1505"/>
      <c r="S324" s="3"/>
      <c r="T324" s="3" t="s">
        <v>88</v>
      </c>
      <c r="V324" s="3"/>
      <c r="W324" s="3"/>
      <c r="X324" s="3"/>
      <c r="Y324" s="3"/>
      <c r="AA324" s="1510" t="s">
        <v>2801</v>
      </c>
      <c r="AB324" s="1511"/>
      <c r="AC324" s="1511"/>
      <c r="AD324" s="1511"/>
      <c r="AE324" s="1511"/>
      <c r="AF324" s="1511"/>
      <c r="AG324" s="4" t="s">
        <v>206</v>
      </c>
      <c r="AH324" s="4"/>
      <c r="AI324" s="1505"/>
      <c r="AJ324" s="1505"/>
      <c r="AK324" s="1505"/>
    </row>
    <row r="325" spans="2:37" ht="12.9" customHeight="1">
      <c r="B325" s="3" t="s">
        <v>89</v>
      </c>
      <c r="C325" s="3"/>
      <c r="D325" s="3"/>
      <c r="E325" s="3"/>
      <c r="F325" s="3"/>
      <c r="G325" s="3"/>
      <c r="H325" s="1498" t="str">
        <f t="shared" si="2"/>
        <v>NA</v>
      </c>
      <c r="I325" s="1498"/>
      <c r="J325" s="1498"/>
      <c r="K325" s="1498"/>
      <c r="L325" s="1498"/>
      <c r="M325" s="1498"/>
      <c r="N325" s="4"/>
      <c r="O325" s="4"/>
      <c r="P325" s="35"/>
      <c r="Q325" s="35"/>
      <c r="R325" s="35"/>
      <c r="S325" s="3"/>
      <c r="T325" s="3" t="s">
        <v>89</v>
      </c>
      <c r="V325" s="3"/>
      <c r="W325" s="3"/>
      <c r="X325" s="3"/>
      <c r="Y325" s="3"/>
      <c r="AA325" s="1529" t="s">
        <v>2645</v>
      </c>
      <c r="AB325" s="1498"/>
      <c r="AC325" s="1498"/>
      <c r="AD325" s="1498"/>
      <c r="AE325" s="1498"/>
      <c r="AF325" s="1498"/>
      <c r="AG325" s="4"/>
      <c r="AH325" s="4"/>
      <c r="AI325" s="35"/>
      <c r="AJ325" s="35"/>
      <c r="AK325" s="35"/>
    </row>
    <row r="326" spans="2:37" ht="12.9" customHeight="1">
      <c r="B326" s="3" t="s">
        <v>76</v>
      </c>
      <c r="C326" s="3"/>
      <c r="D326" s="3"/>
      <c r="E326" s="3"/>
      <c r="F326" s="3"/>
      <c r="G326" s="3"/>
      <c r="H326" s="1485" t="str">
        <f t="shared" si="2"/>
        <v>Sun-Ae.Woo@novoco.com</v>
      </c>
      <c r="I326" s="1485"/>
      <c r="J326" s="1485"/>
      <c r="K326" s="1485"/>
      <c r="L326" s="1485"/>
      <c r="M326" s="1485"/>
      <c r="N326" s="1468"/>
      <c r="O326" s="1468"/>
      <c r="P326" s="1468"/>
      <c r="Q326" s="1468"/>
      <c r="R326" s="1468"/>
      <c r="S326" s="3"/>
      <c r="T326" s="3" t="s">
        <v>76</v>
      </c>
      <c r="V326" s="3"/>
      <c r="W326" s="3"/>
      <c r="X326" s="3"/>
      <c r="Y326" s="3"/>
      <c r="AA326" s="1442" t="s">
        <v>2802</v>
      </c>
      <c r="AB326" s="1485"/>
      <c r="AC326" s="1485"/>
      <c r="AD326" s="1485"/>
      <c r="AE326" s="1485"/>
      <c r="AF326" s="1485"/>
      <c r="AG326" s="1468"/>
      <c r="AH326" s="1468"/>
      <c r="AI326" s="1468"/>
      <c r="AJ326" s="1468"/>
      <c r="AK326" s="1468"/>
    </row>
    <row r="327" spans="2:37" ht="12.9" customHeight="1"/>
    <row r="328" spans="2:37" ht="12.9" customHeight="1">
      <c r="B328" s="4" t="s">
        <v>908</v>
      </c>
      <c r="C328" s="3"/>
      <c r="D328" s="3"/>
      <c r="E328" s="3"/>
      <c r="F328" s="3"/>
      <c r="H328" s="1467" t="s">
        <v>2645</v>
      </c>
      <c r="I328" s="1468"/>
      <c r="J328" s="1468"/>
      <c r="K328" s="1468"/>
      <c r="L328" s="1468"/>
      <c r="M328" s="1468"/>
      <c r="N328" s="1468"/>
      <c r="O328" s="1468"/>
      <c r="P328" s="1468"/>
      <c r="Q328" s="1468"/>
      <c r="R328" s="1468"/>
      <c r="T328" s="3" t="s">
        <v>366</v>
      </c>
      <c r="V328" s="3"/>
      <c r="W328" s="3"/>
      <c r="X328" s="3"/>
      <c r="Y328" s="3"/>
      <c r="AA328" s="1467" t="s">
        <v>2679</v>
      </c>
      <c r="AB328" s="1468"/>
      <c r="AC328" s="1468"/>
      <c r="AD328" s="1468"/>
      <c r="AE328" s="1468"/>
      <c r="AF328" s="1468"/>
      <c r="AG328" s="1468"/>
      <c r="AH328" s="1468"/>
      <c r="AI328" s="1468"/>
      <c r="AJ328" s="1468"/>
      <c r="AK328" s="1468"/>
    </row>
    <row r="329" spans="2:37" ht="12.9" customHeight="1">
      <c r="B329" s="3" t="s">
        <v>471</v>
      </c>
      <c r="C329" s="3"/>
      <c r="D329" s="3"/>
      <c r="E329" s="3"/>
      <c r="F329" s="3"/>
      <c r="H329" s="1485"/>
      <c r="I329" s="1485"/>
      <c r="J329" s="1485"/>
      <c r="K329" s="1485"/>
      <c r="L329" s="1485"/>
      <c r="M329" s="1485"/>
      <c r="N329" s="1485"/>
      <c r="O329" s="1485"/>
      <c r="P329" s="1485"/>
      <c r="Q329" s="1485"/>
      <c r="R329" s="1485"/>
      <c r="T329" s="3" t="s">
        <v>471</v>
      </c>
      <c r="V329" s="3"/>
      <c r="W329" s="3"/>
      <c r="X329" s="3"/>
      <c r="Y329" s="3"/>
      <c r="AA329" s="1442" t="s">
        <v>2680</v>
      </c>
      <c r="AB329" s="1485"/>
      <c r="AC329" s="1485"/>
      <c r="AD329" s="1485"/>
      <c r="AE329" s="1485"/>
      <c r="AF329" s="1485"/>
      <c r="AG329" s="1485"/>
      <c r="AH329" s="1485"/>
      <c r="AI329" s="1485"/>
      <c r="AJ329" s="1485"/>
      <c r="AK329" s="1485"/>
    </row>
    <row r="330" spans="2:37" ht="12.9" customHeight="1">
      <c r="B330" s="3" t="s">
        <v>472</v>
      </c>
      <c r="C330" s="3"/>
      <c r="D330" s="3"/>
      <c r="E330" s="3"/>
      <c r="F330" s="3"/>
      <c r="H330" s="1485"/>
      <c r="I330" s="1485"/>
      <c r="J330" s="1485"/>
      <c r="K330" s="1485"/>
      <c r="L330" s="1485"/>
      <c r="M330" s="1485"/>
      <c r="N330" s="1485"/>
      <c r="O330" s="1485"/>
      <c r="P330" s="1485"/>
      <c r="Q330" s="1485"/>
      <c r="R330" s="1485"/>
      <c r="T330" s="3" t="s">
        <v>75</v>
      </c>
      <c r="V330" s="3"/>
      <c r="W330" s="3"/>
      <c r="X330" s="3"/>
      <c r="Y330" s="3"/>
      <c r="AA330" s="1442" t="s">
        <v>2681</v>
      </c>
      <c r="AB330" s="1485"/>
      <c r="AC330" s="1485"/>
      <c r="AD330" s="1485"/>
      <c r="AE330" s="1485"/>
      <c r="AF330" s="1485"/>
      <c r="AG330" s="1485"/>
      <c r="AH330" s="1485"/>
      <c r="AI330" s="1485"/>
      <c r="AJ330" s="1485"/>
      <c r="AK330" s="1485"/>
    </row>
    <row r="331" spans="2:37" ht="12.9" customHeight="1">
      <c r="B331" s="3" t="s">
        <v>87</v>
      </c>
      <c r="C331" s="3"/>
      <c r="D331" s="3"/>
      <c r="E331" s="3"/>
      <c r="F331" s="3"/>
      <c r="H331" s="1485"/>
      <c r="I331" s="1485"/>
      <c r="J331" s="1485"/>
      <c r="K331" s="1485"/>
      <c r="L331" s="1485"/>
      <c r="M331" s="1485"/>
      <c r="N331" s="1485"/>
      <c r="O331" s="1485"/>
      <c r="P331" s="1485"/>
      <c r="Q331" s="1485"/>
      <c r="R331" s="1485"/>
      <c r="T331" s="3" t="s">
        <v>87</v>
      </c>
      <c r="V331" s="3"/>
      <c r="W331" s="3"/>
      <c r="X331" s="3"/>
      <c r="Y331" s="3"/>
      <c r="AA331" s="1442" t="s">
        <v>2682</v>
      </c>
      <c r="AB331" s="1485"/>
      <c r="AC331" s="1485"/>
      <c r="AD331" s="1485"/>
      <c r="AE331" s="1485"/>
      <c r="AF331" s="1485"/>
      <c r="AG331" s="1485"/>
      <c r="AH331" s="1485"/>
      <c r="AI331" s="1485"/>
      <c r="AJ331" s="1485"/>
      <c r="AK331" s="1485"/>
    </row>
    <row r="332" spans="2:37" ht="12.9" customHeight="1">
      <c r="B332" s="3" t="s">
        <v>88</v>
      </c>
      <c r="C332" s="3"/>
      <c r="D332" s="3"/>
      <c r="E332" s="3"/>
      <c r="F332" s="3"/>
      <c r="G332" s="3"/>
      <c r="H332" s="1511"/>
      <c r="I332" s="1511"/>
      <c r="J332" s="1511"/>
      <c r="K332" s="1511"/>
      <c r="L332" s="1511"/>
      <c r="M332" s="1511"/>
      <c r="N332" s="4" t="s">
        <v>206</v>
      </c>
      <c r="O332" s="4"/>
      <c r="P332" s="1505"/>
      <c r="Q332" s="1505"/>
      <c r="R332" s="1505"/>
      <c r="S332" s="3"/>
      <c r="T332" s="3" t="s">
        <v>88</v>
      </c>
      <c r="V332" s="3"/>
      <c r="W332" s="3"/>
      <c r="X332" s="3"/>
      <c r="Y332" s="3"/>
      <c r="AA332" s="1510" t="s">
        <v>2683</v>
      </c>
      <c r="AB332" s="1511"/>
      <c r="AC332" s="1511"/>
      <c r="AD332" s="1511"/>
      <c r="AE332" s="1511"/>
      <c r="AF332" s="1511"/>
      <c r="AG332" s="4" t="s">
        <v>206</v>
      </c>
      <c r="AH332" s="4"/>
      <c r="AI332" s="1505"/>
      <c r="AJ332" s="1505"/>
      <c r="AK332" s="1505"/>
    </row>
    <row r="333" spans="2:37" ht="12.9" customHeight="1">
      <c r="B333" s="3" t="s">
        <v>89</v>
      </c>
      <c r="C333" s="3"/>
      <c r="D333" s="3"/>
      <c r="E333" s="3"/>
      <c r="F333" s="3"/>
      <c r="G333" s="3"/>
      <c r="H333" s="1498"/>
      <c r="I333" s="1498"/>
      <c r="J333" s="1498"/>
      <c r="K333" s="1498"/>
      <c r="L333" s="1498"/>
      <c r="M333" s="1498"/>
      <c r="N333" s="4"/>
      <c r="O333" s="4"/>
      <c r="P333" s="35"/>
      <c r="Q333" s="35"/>
      <c r="R333" s="35"/>
      <c r="S333" s="3"/>
      <c r="T333" s="3" t="s">
        <v>89</v>
      </c>
      <c r="V333" s="3"/>
      <c r="W333" s="3"/>
      <c r="X333" s="3"/>
      <c r="Y333" s="3"/>
      <c r="AA333" s="1529" t="s">
        <v>2645</v>
      </c>
      <c r="AB333" s="1498"/>
      <c r="AC333" s="1498"/>
      <c r="AD333" s="1498"/>
      <c r="AE333" s="1498"/>
      <c r="AF333" s="1498"/>
      <c r="AG333" s="4"/>
      <c r="AH333" s="4"/>
      <c r="AI333" s="35"/>
      <c r="AJ333" s="35"/>
      <c r="AK333" s="35"/>
    </row>
    <row r="334" spans="2:37" ht="12.9" customHeight="1">
      <c r="B334" s="3" t="s">
        <v>76</v>
      </c>
      <c r="C334" s="3"/>
      <c r="D334" s="3"/>
      <c r="E334" s="3"/>
      <c r="F334" s="3"/>
      <c r="G334" s="3"/>
      <c r="H334" s="1485"/>
      <c r="I334" s="1485"/>
      <c r="J334" s="1485"/>
      <c r="K334" s="1485"/>
      <c r="L334" s="1485"/>
      <c r="M334" s="1485"/>
      <c r="N334" s="1468"/>
      <c r="O334" s="1468"/>
      <c r="P334" s="1468"/>
      <c r="Q334" s="1468"/>
      <c r="R334" s="1468"/>
      <c r="S334" s="3"/>
      <c r="T334" s="3" t="s">
        <v>76</v>
      </c>
      <c r="V334" s="3"/>
      <c r="W334" s="3"/>
      <c r="X334" s="3"/>
      <c r="Y334" s="3"/>
      <c r="AA334" s="1442" t="s">
        <v>2684</v>
      </c>
      <c r="AB334" s="1485"/>
      <c r="AC334" s="1485"/>
      <c r="AD334" s="1485"/>
      <c r="AE334" s="1485"/>
      <c r="AF334" s="1485"/>
      <c r="AG334" s="1468"/>
      <c r="AH334" s="1468"/>
      <c r="AI334" s="1468"/>
      <c r="AJ334" s="1468"/>
      <c r="AK334" s="1468"/>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367</v>
      </c>
      <c r="C336" s="3"/>
      <c r="D336" s="3"/>
      <c r="E336" s="3"/>
      <c r="F336" s="3"/>
      <c r="H336" s="1467" t="s">
        <v>2645</v>
      </c>
      <c r="I336" s="1468"/>
      <c r="J336" s="1468"/>
      <c r="K336" s="1468"/>
      <c r="L336" s="1468"/>
      <c r="M336" s="1468"/>
      <c r="N336" s="1468"/>
      <c r="O336" s="1468"/>
      <c r="P336" s="1468"/>
      <c r="Q336" s="1468"/>
      <c r="R336" s="1468"/>
      <c r="T336" s="3" t="s">
        <v>368</v>
      </c>
      <c r="V336" s="3"/>
      <c r="W336" s="3"/>
      <c r="X336" s="3"/>
      <c r="Y336" s="3"/>
      <c r="AA336" s="1467" t="s">
        <v>2645</v>
      </c>
      <c r="AB336" s="1468"/>
      <c r="AC336" s="1468"/>
      <c r="AD336" s="1468"/>
      <c r="AE336" s="1468"/>
      <c r="AF336" s="1468"/>
      <c r="AG336" s="1468"/>
      <c r="AH336" s="1468"/>
      <c r="AI336" s="1468"/>
      <c r="AJ336" s="1468"/>
      <c r="AK336" s="1468"/>
    </row>
    <row r="337" spans="2:66" ht="12.9" customHeight="1">
      <c r="B337" s="3" t="s">
        <v>471</v>
      </c>
      <c r="C337" s="3"/>
      <c r="D337" s="3"/>
      <c r="E337" s="3"/>
      <c r="F337" s="3"/>
      <c r="H337" s="1485"/>
      <c r="I337" s="1485"/>
      <c r="J337" s="1485"/>
      <c r="K337" s="1485"/>
      <c r="L337" s="1485"/>
      <c r="M337" s="1485"/>
      <c r="N337" s="1485"/>
      <c r="O337" s="1485"/>
      <c r="P337" s="1485"/>
      <c r="Q337" s="1485"/>
      <c r="R337" s="1485"/>
      <c r="T337" s="3" t="s">
        <v>471</v>
      </c>
      <c r="V337" s="3"/>
      <c r="W337" s="3"/>
      <c r="X337" s="3"/>
      <c r="Y337" s="3"/>
      <c r="AA337" s="1485"/>
      <c r="AB337" s="1485"/>
      <c r="AC337" s="1485"/>
      <c r="AD337" s="1485"/>
      <c r="AE337" s="1485"/>
      <c r="AF337" s="1485"/>
      <c r="AG337" s="1485"/>
      <c r="AH337" s="1485"/>
      <c r="AI337" s="1485"/>
      <c r="AJ337" s="1485"/>
      <c r="AK337" s="1485"/>
    </row>
    <row r="338" spans="2:66" ht="12.9" customHeight="1">
      <c r="B338" s="3" t="s">
        <v>472</v>
      </c>
      <c r="C338" s="3"/>
      <c r="D338" s="3"/>
      <c r="E338" s="3"/>
      <c r="F338" s="3"/>
      <c r="H338" s="1485"/>
      <c r="I338" s="1485"/>
      <c r="J338" s="1485"/>
      <c r="K338" s="1485"/>
      <c r="L338" s="1485"/>
      <c r="M338" s="1485"/>
      <c r="N338" s="1485"/>
      <c r="O338" s="1485"/>
      <c r="P338" s="1485"/>
      <c r="Q338" s="1485"/>
      <c r="R338" s="1485"/>
      <c r="T338" s="3" t="s">
        <v>75</v>
      </c>
      <c r="V338" s="3"/>
      <c r="W338" s="3"/>
      <c r="X338" s="3"/>
      <c r="Y338" s="3"/>
      <c r="AA338" s="1485"/>
      <c r="AB338" s="1485"/>
      <c r="AC338" s="1485"/>
      <c r="AD338" s="1485"/>
      <c r="AE338" s="1485"/>
      <c r="AF338" s="1485"/>
      <c r="AG338" s="1485"/>
      <c r="AH338" s="1485"/>
      <c r="AI338" s="1485"/>
      <c r="AJ338" s="1485"/>
      <c r="AK338" s="1485"/>
    </row>
    <row r="339" spans="2:66" ht="12.9" customHeight="1">
      <c r="B339" s="3" t="s">
        <v>87</v>
      </c>
      <c r="C339" s="3"/>
      <c r="D339" s="3"/>
      <c r="E339" s="3"/>
      <c r="F339" s="3"/>
      <c r="H339" s="1485"/>
      <c r="I339" s="1485"/>
      <c r="J339" s="1485"/>
      <c r="K339" s="1485"/>
      <c r="L339" s="1485"/>
      <c r="M339" s="1485"/>
      <c r="N339" s="1485"/>
      <c r="O339" s="1485"/>
      <c r="P339" s="1485"/>
      <c r="Q339" s="1485"/>
      <c r="R339" s="1485"/>
      <c r="T339" s="3" t="s">
        <v>87</v>
      </c>
      <c r="V339" s="3"/>
      <c r="W339" s="3"/>
      <c r="X339" s="3"/>
      <c r="Y339" s="3"/>
      <c r="AA339" s="1485"/>
      <c r="AB339" s="1485"/>
      <c r="AC339" s="1485"/>
      <c r="AD339" s="1485"/>
      <c r="AE339" s="1485"/>
      <c r="AF339" s="1485"/>
      <c r="AG339" s="1485"/>
      <c r="AH339" s="1485"/>
      <c r="AI339" s="1485"/>
      <c r="AJ339" s="1485"/>
      <c r="AK339" s="1485"/>
    </row>
    <row r="340" spans="2:66" ht="12.9" customHeight="1">
      <c r="B340" s="3" t="s">
        <v>88</v>
      </c>
      <c r="C340" s="3"/>
      <c r="D340" s="3"/>
      <c r="E340" s="3"/>
      <c r="F340" s="3"/>
      <c r="G340" s="3"/>
      <c r="H340" s="1511"/>
      <c r="I340" s="1511"/>
      <c r="J340" s="1511"/>
      <c r="K340" s="1511"/>
      <c r="L340" s="1511"/>
      <c r="M340" s="1511"/>
      <c r="N340" s="4" t="s">
        <v>206</v>
      </c>
      <c r="O340" s="4"/>
      <c r="P340" s="1505"/>
      <c r="Q340" s="1505"/>
      <c r="R340" s="1505"/>
      <c r="S340" s="3"/>
      <c r="T340" s="3" t="s">
        <v>88</v>
      </c>
      <c r="V340" s="3"/>
      <c r="W340" s="3"/>
      <c r="X340" s="3"/>
      <c r="Y340" s="3"/>
      <c r="AA340" s="1511"/>
      <c r="AB340" s="1511"/>
      <c r="AC340" s="1511"/>
      <c r="AD340" s="1511"/>
      <c r="AE340" s="1511"/>
      <c r="AF340" s="1511"/>
      <c r="AG340" s="4" t="s">
        <v>206</v>
      </c>
      <c r="AH340" s="4"/>
      <c r="AI340" s="1505"/>
      <c r="AJ340" s="1505"/>
      <c r="AK340" s="1505"/>
    </row>
    <row r="341" spans="2:66" ht="12.9" customHeight="1">
      <c r="B341" s="3" t="s">
        <v>89</v>
      </c>
      <c r="C341" s="3"/>
      <c r="D341" s="3"/>
      <c r="E341" s="3"/>
      <c r="F341" s="3"/>
      <c r="G341" s="3"/>
      <c r="H341" s="1498"/>
      <c r="I341" s="1498"/>
      <c r="J341" s="1498"/>
      <c r="K341" s="1498"/>
      <c r="L341" s="1498"/>
      <c r="M341" s="1498"/>
      <c r="N341" s="4"/>
      <c r="O341" s="4"/>
      <c r="P341" s="35"/>
      <c r="Q341" s="35"/>
      <c r="R341" s="35"/>
      <c r="S341" s="3"/>
      <c r="T341" s="3" t="s">
        <v>89</v>
      </c>
      <c r="V341" s="3"/>
      <c r="W341" s="3"/>
      <c r="X341" s="3"/>
      <c r="Y341" s="3"/>
      <c r="AA341" s="1498"/>
      <c r="AB341" s="1498"/>
      <c r="AC341" s="1498"/>
      <c r="AD341" s="1498"/>
      <c r="AE341" s="1498"/>
      <c r="AF341" s="1498"/>
      <c r="AG341" s="4"/>
      <c r="AH341" s="4"/>
      <c r="AI341" s="35"/>
      <c r="AJ341" s="35"/>
      <c r="AK341" s="35"/>
    </row>
    <row r="342" spans="2:66" ht="12.9" customHeight="1">
      <c r="B342" s="3" t="s">
        <v>76</v>
      </c>
      <c r="C342" s="3"/>
      <c r="D342" s="3"/>
      <c r="E342" s="3"/>
      <c r="F342" s="3"/>
      <c r="G342" s="3"/>
      <c r="H342" s="1485"/>
      <c r="I342" s="1485"/>
      <c r="J342" s="1485"/>
      <c r="K342" s="1485"/>
      <c r="L342" s="1485"/>
      <c r="M342" s="1485"/>
      <c r="N342" s="1468"/>
      <c r="O342" s="1468"/>
      <c r="P342" s="1468"/>
      <c r="Q342" s="1468"/>
      <c r="R342" s="1468"/>
      <c r="S342" s="3"/>
      <c r="T342" s="3" t="s">
        <v>76</v>
      </c>
      <c r="V342" s="3"/>
      <c r="W342" s="3"/>
      <c r="X342" s="3"/>
      <c r="Y342" s="3"/>
      <c r="AA342" s="1485"/>
      <c r="AB342" s="1485"/>
      <c r="AC342" s="1485"/>
      <c r="AD342" s="1485"/>
      <c r="AE342" s="1485"/>
      <c r="AF342" s="1485"/>
      <c r="AG342" s="1468"/>
      <c r="AH342" s="1468"/>
      <c r="AI342" s="1468"/>
      <c r="AJ342" s="1468"/>
      <c r="AK342" s="1468"/>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329</v>
      </c>
      <c r="C344" s="3"/>
      <c r="D344" s="3"/>
      <c r="E344" s="3"/>
      <c r="F344" s="3"/>
      <c r="H344" s="1467" t="s">
        <v>2690</v>
      </c>
      <c r="I344" s="1468"/>
      <c r="J344" s="1468"/>
      <c r="K344" s="1468"/>
      <c r="L344" s="1468"/>
      <c r="M344" s="1468"/>
      <c r="N344" s="1468"/>
      <c r="O344" s="1468"/>
      <c r="P344" s="1468"/>
      <c r="Q344" s="1468"/>
      <c r="R344" s="1468"/>
      <c r="T344" s="204" t="s">
        <v>886</v>
      </c>
      <c r="V344" s="3"/>
      <c r="W344" s="3"/>
      <c r="X344" s="3"/>
      <c r="Y344" s="3"/>
      <c r="AA344" s="1467" t="s">
        <v>2751</v>
      </c>
      <c r="AB344" s="1468"/>
      <c r="AC344" s="1468"/>
      <c r="AD344" s="1468"/>
      <c r="AE344" s="1468"/>
      <c r="AF344" s="1468"/>
      <c r="AG344" s="1468"/>
      <c r="AH344" s="1468"/>
      <c r="AI344" s="1468"/>
      <c r="AJ344" s="1468"/>
      <c r="AK344" s="1468"/>
    </row>
    <row r="345" spans="2:66" ht="12.9" customHeight="1">
      <c r="B345" s="3" t="s">
        <v>471</v>
      </c>
      <c r="C345" s="3"/>
      <c r="D345" s="3"/>
      <c r="E345" s="3"/>
      <c r="F345" s="3"/>
      <c r="H345" s="1442" t="s">
        <v>2785</v>
      </c>
      <c r="I345" s="1485"/>
      <c r="J345" s="1485"/>
      <c r="K345" s="1485"/>
      <c r="L345" s="1485"/>
      <c r="M345" s="1485"/>
      <c r="N345" s="1485"/>
      <c r="O345" s="1485"/>
      <c r="P345" s="1485"/>
      <c r="Q345" s="1485"/>
      <c r="R345" s="1485"/>
      <c r="T345" s="3" t="s">
        <v>471</v>
      </c>
      <c r="V345" s="3"/>
      <c r="W345" s="3"/>
      <c r="X345" s="3"/>
      <c r="Y345" s="3"/>
      <c r="AA345" s="1442" t="s">
        <v>2752</v>
      </c>
      <c r="AB345" s="1485"/>
      <c r="AC345" s="1485"/>
      <c r="AD345" s="1485"/>
      <c r="AE345" s="1485"/>
      <c r="AF345" s="1485"/>
      <c r="AG345" s="1485"/>
      <c r="AH345" s="1485"/>
      <c r="AI345" s="1485"/>
      <c r="AJ345" s="1485"/>
      <c r="AK345" s="1485"/>
    </row>
    <row r="346" spans="2:66" ht="12.9" customHeight="1">
      <c r="B346" s="3" t="s">
        <v>75</v>
      </c>
      <c r="C346" s="3"/>
      <c r="D346" s="3"/>
      <c r="E346" s="3"/>
      <c r="F346" s="3"/>
      <c r="H346" s="1442" t="s">
        <v>2686</v>
      </c>
      <c r="I346" s="1485"/>
      <c r="J346" s="1485"/>
      <c r="K346" s="1485"/>
      <c r="L346" s="1485"/>
      <c r="M346" s="1485"/>
      <c r="N346" s="1485"/>
      <c r="O346" s="1485"/>
      <c r="P346" s="1485"/>
      <c r="Q346" s="1485"/>
      <c r="R346" s="1485"/>
      <c r="T346" s="3" t="s">
        <v>75</v>
      </c>
      <c r="V346" s="3"/>
      <c r="W346" s="3"/>
      <c r="X346" s="3"/>
      <c r="Y346" s="3"/>
      <c r="AA346" s="1442" t="s">
        <v>2669</v>
      </c>
      <c r="AB346" s="1485"/>
      <c r="AC346" s="1485"/>
      <c r="AD346" s="1485"/>
      <c r="AE346" s="1485"/>
      <c r="AF346" s="1485"/>
      <c r="AG346" s="1485"/>
      <c r="AH346" s="1485"/>
      <c r="AI346" s="1485"/>
      <c r="AJ346" s="1485"/>
      <c r="AK346" s="1485"/>
    </row>
    <row r="347" spans="2:66" ht="12.9" customHeight="1">
      <c r="B347" s="3" t="s">
        <v>87</v>
      </c>
      <c r="C347" s="3"/>
      <c r="D347" s="3"/>
      <c r="E347" s="3"/>
      <c r="F347" s="3"/>
      <c r="G347" s="3"/>
      <c r="H347" s="1442" t="s">
        <v>2687</v>
      </c>
      <c r="I347" s="1485"/>
      <c r="J347" s="1485"/>
      <c r="K347" s="1485"/>
      <c r="L347" s="1485"/>
      <c r="M347" s="1485"/>
      <c r="N347" s="1485"/>
      <c r="O347" s="1485"/>
      <c r="P347" s="1485"/>
      <c r="Q347" s="1485"/>
      <c r="R347" s="1485"/>
      <c r="T347" s="3" t="s">
        <v>87</v>
      </c>
      <c r="V347" s="3"/>
      <c r="W347" s="3"/>
      <c r="X347" s="3"/>
      <c r="Y347" s="3"/>
      <c r="AA347" s="1442" t="s">
        <v>2753</v>
      </c>
      <c r="AB347" s="1485"/>
      <c r="AC347" s="1485"/>
      <c r="AD347" s="1485"/>
      <c r="AE347" s="1485"/>
      <c r="AF347" s="1485"/>
      <c r="AG347" s="1485"/>
      <c r="AH347" s="1485"/>
      <c r="AI347" s="1485"/>
      <c r="AJ347" s="1485"/>
      <c r="AK347" s="1485"/>
    </row>
    <row r="348" spans="2:66" ht="12.9" customHeight="1">
      <c r="B348" s="3" t="s">
        <v>88</v>
      </c>
      <c r="C348" s="3"/>
      <c r="D348" s="3"/>
      <c r="E348" s="3"/>
      <c r="F348" s="3"/>
      <c r="G348" s="3"/>
      <c r="H348" s="1510" t="s">
        <v>2688</v>
      </c>
      <c r="I348" s="1511"/>
      <c r="J348" s="1511"/>
      <c r="K348" s="1511"/>
      <c r="L348" s="1511"/>
      <c r="M348" s="1511"/>
      <c r="N348" s="4" t="s">
        <v>206</v>
      </c>
      <c r="O348" s="4"/>
      <c r="P348" s="1505"/>
      <c r="Q348" s="1505"/>
      <c r="R348" s="1505"/>
      <c r="S348" s="3"/>
      <c r="T348" s="3" t="s">
        <v>88</v>
      </c>
      <c r="V348" s="3"/>
      <c r="W348" s="3"/>
      <c r="X348" s="3"/>
      <c r="Y348" s="3"/>
      <c r="AA348" s="1510" t="s">
        <v>2754</v>
      </c>
      <c r="AB348" s="1511"/>
      <c r="AC348" s="1511"/>
      <c r="AD348" s="1511"/>
      <c r="AE348" s="1511"/>
      <c r="AF348" s="1511"/>
      <c r="AG348" s="4" t="s">
        <v>206</v>
      </c>
      <c r="AH348" s="4"/>
      <c r="AI348" s="1505"/>
      <c r="AJ348" s="1505"/>
      <c r="AK348" s="1505"/>
    </row>
    <row r="349" spans="2:66" ht="12.9" customHeight="1">
      <c r="B349" s="3" t="s">
        <v>89</v>
      </c>
      <c r="C349" s="3"/>
      <c r="D349" s="3"/>
      <c r="E349" s="3"/>
      <c r="F349" s="3"/>
      <c r="G349" s="3"/>
      <c r="H349" s="1529" t="s">
        <v>2645</v>
      </c>
      <c r="I349" s="1498"/>
      <c r="J349" s="1498"/>
      <c r="K349" s="1498"/>
      <c r="L349" s="1498"/>
      <c r="M349" s="1498"/>
      <c r="N349" s="4"/>
      <c r="O349" s="4"/>
      <c r="P349" s="35"/>
      <c r="Q349" s="35"/>
      <c r="R349" s="35"/>
      <c r="S349" s="3"/>
      <c r="T349" s="3" t="s">
        <v>89</v>
      </c>
      <c r="V349" s="3"/>
      <c r="W349" s="3"/>
      <c r="X349" s="3"/>
      <c r="Y349" s="3"/>
      <c r="AA349" s="1498"/>
      <c r="AB349" s="1498"/>
      <c r="AC349" s="1498"/>
      <c r="AD349" s="1498"/>
      <c r="AE349" s="1498"/>
      <c r="AF349" s="1498"/>
      <c r="AG349" s="4"/>
      <c r="AH349" s="4"/>
      <c r="AI349" s="35"/>
      <c r="AJ349" s="35"/>
      <c r="AK349" s="35"/>
    </row>
    <row r="350" spans="2:66" ht="12.9" customHeight="1">
      <c r="B350" s="3" t="s">
        <v>76</v>
      </c>
      <c r="C350" s="3"/>
      <c r="D350" s="3"/>
      <c r="E350" s="3"/>
      <c r="F350" s="3"/>
      <c r="G350" s="3"/>
      <c r="H350" s="1442" t="s">
        <v>2689</v>
      </c>
      <c r="I350" s="1485"/>
      <c r="J350" s="1485"/>
      <c r="K350" s="1485"/>
      <c r="L350" s="1485"/>
      <c r="M350" s="1485"/>
      <c r="N350" s="1468"/>
      <c r="O350" s="1468"/>
      <c r="P350" s="1468"/>
      <c r="Q350" s="1468"/>
      <c r="R350" s="1468"/>
      <c r="S350" s="3"/>
      <c r="T350" s="3" t="s">
        <v>76</v>
      </c>
      <c r="V350" s="3"/>
      <c r="W350" s="3"/>
      <c r="X350" s="3"/>
      <c r="Y350" s="3"/>
      <c r="AA350" s="1442" t="s">
        <v>2755</v>
      </c>
      <c r="AB350" s="1485"/>
      <c r="AC350" s="1485"/>
      <c r="AD350" s="1485"/>
      <c r="AE350" s="1485"/>
      <c r="AF350" s="1485"/>
      <c r="AG350" s="1468"/>
      <c r="AH350" s="1468"/>
      <c r="AI350" s="1468"/>
      <c r="AJ350" s="1468"/>
      <c r="AK350" s="1468"/>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 customHeight="1">
      <c r="B352" s="3"/>
      <c r="C352" s="4"/>
      <c r="D352" s="4"/>
      <c r="E352" s="4"/>
      <c r="F352" s="4"/>
      <c r="I352" s="204" t="s">
        <v>887</v>
      </c>
      <c r="P352" s="1468"/>
      <c r="Q352" s="1468"/>
      <c r="R352" s="1468"/>
      <c r="S352" s="1468"/>
      <c r="T352" s="1468"/>
      <c r="U352" s="1468"/>
      <c r="V352" s="1468"/>
      <c r="W352" s="1468"/>
      <c r="X352" s="1468"/>
      <c r="Y352" s="1468"/>
      <c r="Z352" s="1468"/>
      <c r="AA352" s="1468"/>
      <c r="AB352" s="1468"/>
      <c r="AC352" s="1468"/>
      <c r="AD352" s="1468"/>
      <c r="AE352" s="1468"/>
      <c r="BN352" t="s">
        <v>669</v>
      </c>
    </row>
    <row r="353" spans="1:66" ht="12.9" customHeight="1">
      <c r="B353" s="4"/>
      <c r="C353" s="4"/>
      <c r="D353" s="4"/>
      <c r="E353" s="4"/>
      <c r="F353" s="4"/>
      <c r="I353" s="4" t="s">
        <v>471</v>
      </c>
      <c r="P353" s="1485"/>
      <c r="Q353" s="1485"/>
      <c r="R353" s="1485"/>
      <c r="S353" s="1485"/>
      <c r="T353" s="1485"/>
      <c r="U353" s="1485"/>
      <c r="V353" s="1485"/>
      <c r="W353" s="1485"/>
      <c r="X353" s="1485"/>
      <c r="Y353" s="1485"/>
      <c r="Z353" s="1485"/>
      <c r="AA353" s="1485"/>
      <c r="AB353" s="1485"/>
      <c r="AC353" s="1485"/>
      <c r="AD353" s="1485"/>
      <c r="AE353" s="1485"/>
      <c r="BN353" t="s">
        <v>545</v>
      </c>
    </row>
    <row r="354" spans="1:66" ht="12.9" customHeight="1">
      <c r="B354" s="4"/>
      <c r="C354" s="4"/>
      <c r="D354" s="4"/>
      <c r="E354" s="4"/>
      <c r="F354" s="4"/>
      <c r="I354" s="4" t="s">
        <v>75</v>
      </c>
      <c r="P354" s="1485"/>
      <c r="Q354" s="1485"/>
      <c r="R354" s="1485"/>
      <c r="S354" s="1485"/>
      <c r="T354" s="1485"/>
      <c r="U354" s="1485"/>
      <c r="V354" s="1485"/>
      <c r="W354" s="1485"/>
      <c r="X354" s="1485"/>
      <c r="Y354" s="1485"/>
      <c r="Z354" s="1485"/>
      <c r="AA354" s="1485"/>
      <c r="AB354" s="1485"/>
      <c r="AC354" s="1485"/>
      <c r="AD354" s="1485"/>
      <c r="AE354" s="1485"/>
    </row>
    <row r="355" spans="1:66" ht="12.9" customHeight="1">
      <c r="B355" s="4"/>
      <c r="C355" s="4"/>
      <c r="D355" s="4"/>
      <c r="E355" s="4"/>
      <c r="F355" s="4"/>
      <c r="G355" s="4"/>
      <c r="I355" s="4" t="s">
        <v>87</v>
      </c>
      <c r="P355" s="1485"/>
      <c r="Q355" s="1485"/>
      <c r="R355" s="1485"/>
      <c r="S355" s="1485"/>
      <c r="T355" s="1485"/>
      <c r="U355" s="1485"/>
      <c r="V355" s="1485"/>
      <c r="W355" s="1485"/>
      <c r="X355" s="1485"/>
      <c r="Y355" s="1485"/>
      <c r="Z355" s="1485"/>
      <c r="AA355" s="1485"/>
      <c r="AB355" s="1485"/>
      <c r="AC355" s="1485"/>
      <c r="AD355" s="1485"/>
      <c r="AE355" s="1485"/>
    </row>
    <row r="356" spans="1:66" ht="12.9" customHeight="1">
      <c r="B356" s="4"/>
      <c r="C356" s="4"/>
      <c r="D356" s="4"/>
      <c r="E356" s="4"/>
      <c r="F356" s="4"/>
      <c r="G356" s="4"/>
      <c r="H356" s="302"/>
      <c r="I356" s="4" t="s">
        <v>88</v>
      </c>
      <c r="P356" s="1498"/>
      <c r="Q356" s="1498"/>
      <c r="R356" s="1498"/>
      <c r="S356" s="1498"/>
      <c r="T356" s="1498"/>
      <c r="U356" s="1498"/>
      <c r="V356" s="1498"/>
      <c r="W356" s="1498"/>
      <c r="X356" s="1498"/>
      <c r="Y356" s="1498"/>
      <c r="Z356" s="1498"/>
      <c r="AA356" s="4" t="s">
        <v>206</v>
      </c>
      <c r="AB356" s="4"/>
      <c r="AC356" s="1473"/>
      <c r="AD356" s="1473"/>
      <c r="AE356" s="1473"/>
      <c r="AF356" s="302"/>
      <c r="AG356" s="4"/>
      <c r="AH356" s="4"/>
      <c r="AI356" s="4"/>
      <c r="AJ356" s="4"/>
      <c r="AK356" s="4"/>
    </row>
    <row r="357" spans="1:66" ht="12.9" customHeight="1">
      <c r="B357" s="4"/>
      <c r="C357" s="4"/>
      <c r="D357" s="4"/>
      <c r="E357" s="4"/>
      <c r="F357" s="4"/>
      <c r="G357" s="4"/>
      <c r="H357" s="302"/>
      <c r="I357" s="4" t="s">
        <v>89</v>
      </c>
      <c r="P357" s="1498"/>
      <c r="Q357" s="1498"/>
      <c r="R357" s="1498"/>
      <c r="S357" s="1498"/>
      <c r="T357" s="1498"/>
      <c r="U357" s="1498"/>
      <c r="V357" s="1498"/>
      <c r="W357" s="1498"/>
      <c r="X357" s="1498"/>
      <c r="Y357" s="1498"/>
      <c r="Z357" s="1498"/>
      <c r="AF357" s="302"/>
      <c r="AG357" s="4"/>
      <c r="AH357" s="4"/>
      <c r="AI357" s="35"/>
      <c r="AJ357" s="35"/>
      <c r="AK357" s="35"/>
    </row>
    <row r="358" spans="1:66" ht="12.9" customHeight="1">
      <c r="B358" s="4"/>
      <c r="C358" s="4"/>
      <c r="D358" s="4"/>
      <c r="E358" s="4"/>
      <c r="F358" s="4"/>
      <c r="G358" s="4"/>
      <c r="I358" s="4" t="s">
        <v>76</v>
      </c>
      <c r="P358" s="1468"/>
      <c r="Q358" s="1468"/>
      <c r="R358" s="1468"/>
      <c r="S358" s="1468"/>
      <c r="T358" s="1468"/>
      <c r="U358" s="1468"/>
      <c r="V358" s="1468"/>
      <c r="W358" s="1468"/>
      <c r="X358" s="1468"/>
      <c r="Y358" s="1468"/>
      <c r="Z358" s="1468"/>
      <c r="AA358" s="1468"/>
      <c r="AB358" s="1468"/>
      <c r="AC358" s="1468"/>
      <c r="AD358" s="1468"/>
      <c r="AE358" s="1468"/>
    </row>
    <row r="359" spans="1:66" ht="12.9" customHeight="1">
      <c r="T359" s="8"/>
      <c r="U359" s="8"/>
      <c r="V359" s="8"/>
      <c r="W359" s="8"/>
      <c r="X359" s="8"/>
      <c r="Y359" s="8"/>
      <c r="Z359" s="8"/>
      <c r="AU359" s="95"/>
      <c r="AV359" s="95"/>
      <c r="AW359" s="95"/>
      <c r="AX359" s="95"/>
      <c r="AY359" s="95"/>
    </row>
    <row r="360" spans="1:66" ht="12.9" customHeight="1">
      <c r="A360" s="1509" t="s">
        <v>542</v>
      </c>
      <c r="B360" s="1509"/>
      <c r="C360" s="1509"/>
      <c r="D360" s="1509"/>
      <c r="E360" s="1509"/>
      <c r="F360" s="1509"/>
      <c r="G360" s="1509"/>
      <c r="H360" s="1509"/>
      <c r="I360" s="1509"/>
      <c r="J360" s="1509"/>
      <c r="K360" s="1509"/>
      <c r="L360" s="1509"/>
      <c r="M360" s="1509"/>
      <c r="N360" s="1509"/>
      <c r="O360" s="1509"/>
      <c r="P360" s="1509"/>
      <c r="Q360" s="1509"/>
      <c r="R360" s="1509"/>
      <c r="S360" s="1509"/>
      <c r="T360" s="1509"/>
      <c r="U360" s="1509"/>
      <c r="V360" s="1509"/>
      <c r="W360" s="1509"/>
      <c r="X360" s="1509"/>
      <c r="Y360" s="1509"/>
      <c r="Z360" s="1509"/>
      <c r="AA360" s="1509"/>
      <c r="AB360" s="1509"/>
      <c r="AC360" s="1509"/>
      <c r="AD360" s="1509"/>
      <c r="AE360" s="1509"/>
      <c r="AF360" s="1509"/>
      <c r="AG360" s="1509"/>
      <c r="AH360" s="1509"/>
      <c r="AI360" s="1509"/>
      <c r="AJ360" s="1509"/>
      <c r="AK360" s="1509"/>
      <c r="AL360" s="1509"/>
      <c r="AM360" s="1509"/>
      <c r="AN360" s="1509"/>
      <c r="AO360" s="1509"/>
      <c r="AP360" s="1509"/>
      <c r="AQ360" s="1509"/>
      <c r="AR360" s="1509"/>
      <c r="AS360" s="1509"/>
      <c r="AT360" s="1509"/>
      <c r="AU360" s="95"/>
      <c r="AV360" s="95"/>
      <c r="AW360" s="95"/>
      <c r="AX360" s="95"/>
      <c r="AY360" s="95"/>
    </row>
    <row r="361" spans="1:66" ht="12.9" customHeight="1">
      <c r="A361" s="1509"/>
      <c r="B361" s="1509"/>
      <c r="C361" s="1509"/>
      <c r="D361" s="1509"/>
      <c r="E361" s="1509"/>
      <c r="F361" s="1509"/>
      <c r="G361" s="1509"/>
      <c r="H361" s="1509"/>
      <c r="I361" s="1509"/>
      <c r="J361" s="1509"/>
      <c r="K361" s="1509"/>
      <c r="L361" s="1509"/>
      <c r="M361" s="1509"/>
      <c r="N361" s="1509"/>
      <c r="O361" s="1509"/>
      <c r="P361" s="1509"/>
      <c r="Q361" s="1509"/>
      <c r="R361" s="1509"/>
      <c r="S361" s="1509"/>
      <c r="T361" s="1509"/>
      <c r="U361" s="1509"/>
      <c r="V361" s="1509"/>
      <c r="W361" s="1509"/>
      <c r="X361" s="1509"/>
      <c r="Y361" s="1509"/>
      <c r="Z361" s="1509"/>
      <c r="AA361" s="1509"/>
      <c r="AB361" s="1509"/>
      <c r="AC361" s="1509"/>
      <c r="AD361" s="1509"/>
      <c r="AE361" s="1509"/>
      <c r="AF361" s="1509"/>
      <c r="AG361" s="1509"/>
      <c r="AH361" s="1509"/>
      <c r="AI361" s="1509"/>
      <c r="AJ361" s="1509"/>
      <c r="AK361" s="1509"/>
      <c r="AL361" s="1509"/>
      <c r="AM361" s="1509"/>
      <c r="AN361" s="1509"/>
      <c r="AO361" s="1509"/>
      <c r="AP361" s="1509"/>
      <c r="AQ361" s="1509"/>
      <c r="AR361" s="1509"/>
      <c r="AS361" s="1509"/>
      <c r="AT361" s="1509"/>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319</v>
      </c>
      <c r="B363" s="2"/>
      <c r="C363" s="2" t="s">
        <v>782</v>
      </c>
    </row>
    <row r="364" spans="1:66" ht="12.9" customHeight="1">
      <c r="D364" s="3" t="s">
        <v>2052</v>
      </c>
      <c r="M364" s="1344" t="s">
        <v>545</v>
      </c>
      <c r="N364" s="1344"/>
      <c r="P364" t="s">
        <v>1638</v>
      </c>
      <c r="AJ364" s="1344" t="s">
        <v>591</v>
      </c>
      <c r="AK364" s="1344"/>
    </row>
    <row r="365" spans="1:66" ht="12.9" customHeight="1">
      <c r="D365" s="3" t="s">
        <v>1627</v>
      </c>
      <c r="M365" s="1344" t="s">
        <v>591</v>
      </c>
      <c r="N365" s="1344"/>
      <c r="P365" s="3" t="s">
        <v>1707</v>
      </c>
      <c r="AJ365" s="1535">
        <v>0</v>
      </c>
      <c r="AK365" s="1535"/>
    </row>
    <row r="366" spans="1:66" ht="12.9" customHeight="1">
      <c r="D366" s="3" t="s">
        <v>704</v>
      </c>
      <c r="M366" s="1344" t="s">
        <v>591</v>
      </c>
      <c r="N366" s="1344"/>
      <c r="P366" t="s">
        <v>1637</v>
      </c>
      <c r="AJ366" s="1344" t="s">
        <v>591</v>
      </c>
      <c r="AK366" s="1344"/>
    </row>
    <row r="367" spans="1:66" ht="12.9" customHeight="1">
      <c r="D367" s="3" t="s">
        <v>705</v>
      </c>
      <c r="M367" s="1344" t="s">
        <v>591</v>
      </c>
      <c r="N367" s="1344"/>
      <c r="Q367" s="4"/>
    </row>
    <row r="368" spans="1:66" ht="12.9" customHeight="1">
      <c r="Q368" s="4"/>
    </row>
    <row r="369" spans="1:34" ht="12.9" customHeight="1">
      <c r="Q369" s="4"/>
    </row>
    <row r="370" spans="1:34" ht="12.9" customHeight="1">
      <c r="A370" s="2" t="s">
        <v>576</v>
      </c>
      <c r="B370" s="2"/>
      <c r="C370" s="2" t="s">
        <v>552</v>
      </c>
      <c r="D370" s="2"/>
    </row>
    <row r="371" spans="1:34" ht="12.9"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186</v>
      </c>
      <c r="E372" s="40"/>
      <c r="F372" s="40"/>
      <c r="G372" s="40"/>
      <c r="H372" s="40"/>
      <c r="I372" s="40"/>
      <c r="J372" s="40"/>
      <c r="K372" s="40"/>
      <c r="L372" s="40"/>
      <c r="M372" s="40"/>
      <c r="N372" s="1344" t="s">
        <v>591</v>
      </c>
      <c r="O372" s="1344"/>
      <c r="P372" s="40"/>
      <c r="Q372" s="40"/>
      <c r="R372" s="40"/>
      <c r="S372" s="40"/>
      <c r="T372" s="40"/>
      <c r="U372" s="40"/>
      <c r="V372" s="40"/>
      <c r="W372" s="40"/>
      <c r="X372" s="40"/>
      <c r="Y372" s="40"/>
      <c r="Z372" s="40"/>
      <c r="AC372" s="40"/>
      <c r="AD372" s="40"/>
      <c r="AE372" s="40"/>
    </row>
    <row r="373" spans="1:34" ht="12.9" customHeight="1">
      <c r="E373" t="s">
        <v>370</v>
      </c>
      <c r="Y373" s="1344" t="s">
        <v>591</v>
      </c>
      <c r="Z373" s="1344"/>
    </row>
    <row r="374" spans="1:34" ht="12.9" customHeight="1">
      <c r="D374" s="4" t="s">
        <v>977</v>
      </c>
      <c r="Q374" s="1468"/>
      <c r="R374" s="1468"/>
      <c r="S374" s="1468"/>
      <c r="T374" s="1468"/>
      <c r="U374" s="1468"/>
      <c r="V374" s="1468"/>
      <c r="W374" s="1468"/>
      <c r="X374" s="1468"/>
      <c r="Y374" s="1468"/>
      <c r="Z374" s="1468"/>
      <c r="AA374" s="1468"/>
      <c r="AB374" s="1468"/>
      <c r="AC374" s="1468"/>
      <c r="AD374" s="1468"/>
      <c r="AE374" s="1468"/>
      <c r="AF374" s="1468"/>
      <c r="AG374" s="1468"/>
    </row>
    <row r="375" spans="1:34" ht="12.9"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188</v>
      </c>
      <c r="E376" s="40"/>
      <c r="F376" s="40"/>
      <c r="G376" s="40"/>
      <c r="H376" s="40"/>
      <c r="I376" s="40"/>
      <c r="J376" s="1344" t="s">
        <v>591</v>
      </c>
      <c r="K376" s="1344"/>
      <c r="L376" s="40"/>
      <c r="M376" s="40"/>
      <c r="N376" s="40"/>
      <c r="O376" s="40"/>
      <c r="P376" s="40"/>
      <c r="Q376" s="40"/>
      <c r="R376" s="40"/>
      <c r="S376" s="40"/>
      <c r="T376" s="40"/>
      <c r="U376" s="40"/>
      <c r="V376" s="40"/>
      <c r="W376" s="40"/>
      <c r="X376" s="40"/>
      <c r="Y376" s="40"/>
      <c r="Z376" s="40"/>
      <c r="AC376" s="40"/>
      <c r="AD376" s="40"/>
      <c r="AE376" s="40"/>
    </row>
    <row r="377" spans="1:34" ht="12.9" customHeight="1">
      <c r="E377" s="1504" t="s">
        <v>706</v>
      </c>
      <c r="F377" s="1504"/>
      <c r="G377" s="1504"/>
      <c r="H377" s="1504"/>
      <c r="I377" s="1504"/>
      <c r="J377" s="1504"/>
      <c r="K377" s="1504"/>
      <c r="L377" s="1504"/>
      <c r="M377" s="1504"/>
      <c r="N377" s="1504"/>
      <c r="O377" s="1504"/>
      <c r="P377" s="1504"/>
      <c r="Q377" s="1504"/>
      <c r="R377" s="1504"/>
      <c r="S377" s="1504"/>
      <c r="T377" s="1504"/>
      <c r="U377" s="1504"/>
      <c r="V377" s="1504"/>
      <c r="W377" s="1504"/>
      <c r="X377" s="1504"/>
      <c r="Y377" s="1504"/>
      <c r="Z377" s="1504"/>
      <c r="AA377" s="1504"/>
      <c r="AB377" s="1504"/>
      <c r="AC377" s="1504"/>
      <c r="AD377" s="1504"/>
      <c r="AE377" s="1504"/>
      <c r="AF377" s="1504"/>
      <c r="AG377" s="1504"/>
      <c r="AH377" s="1504"/>
    </row>
    <row r="378" spans="1:34" ht="12.9" customHeight="1">
      <c r="E378" s="1504"/>
      <c r="F378" s="1504"/>
      <c r="G378" s="1504"/>
      <c r="H378" s="1504"/>
      <c r="I378" s="1504"/>
      <c r="J378" s="1504"/>
      <c r="K378" s="1504"/>
      <c r="L378" s="1504"/>
      <c r="M378" s="1504"/>
      <c r="N378" s="1504"/>
      <c r="O378" s="1504"/>
      <c r="P378" s="1504"/>
      <c r="Q378" s="1504"/>
      <c r="R378" s="1504"/>
      <c r="S378" s="1504"/>
      <c r="T378" s="1504"/>
      <c r="U378" s="1504"/>
      <c r="V378" s="1504"/>
      <c r="W378" s="1504"/>
      <c r="X378" s="1504"/>
      <c r="Y378" s="1504"/>
      <c r="Z378" s="1504"/>
      <c r="AA378" s="1504"/>
      <c r="AB378" s="1504"/>
      <c r="AC378" s="1504"/>
      <c r="AD378" s="1504"/>
      <c r="AE378" s="1504"/>
      <c r="AF378" s="1504"/>
      <c r="AG378" s="1504"/>
      <c r="AH378" s="1504"/>
    </row>
    <row r="379" spans="1:34" ht="12.9" customHeight="1">
      <c r="E379" s="4" t="s">
        <v>448</v>
      </c>
      <c r="F379" s="4"/>
      <c r="G379" s="4"/>
      <c r="H379" s="4"/>
      <c r="I379" s="4"/>
      <c r="J379" s="4"/>
      <c r="K379" s="4"/>
      <c r="L379" s="4"/>
      <c r="N379" s="1548" t="s">
        <v>2645</v>
      </c>
      <c r="O379" s="1525"/>
      <c r="P379" s="1525"/>
      <c r="Q379" s="1525"/>
      <c r="R379" s="4"/>
      <c r="U379" s="4" t="s">
        <v>449</v>
      </c>
      <c r="V379" s="4"/>
      <c r="W379" s="4"/>
      <c r="X379" s="4"/>
      <c r="Y379" s="4"/>
      <c r="Z379" s="4"/>
      <c r="AA379" s="4"/>
      <c r="AB379" s="4"/>
      <c r="AC379" s="1548" t="s">
        <v>2645</v>
      </c>
      <c r="AD379" s="1525"/>
      <c r="AE379" s="1525"/>
      <c r="AF379" s="1525"/>
    </row>
    <row r="380" spans="1:34" ht="12.9" customHeight="1">
      <c r="E380" s="4" t="s">
        <v>450</v>
      </c>
      <c r="F380" s="4"/>
      <c r="G380" s="4"/>
      <c r="H380" s="4"/>
      <c r="I380" s="4"/>
      <c r="J380" s="4"/>
      <c r="K380" s="4"/>
      <c r="L380" s="4"/>
      <c r="N380" s="1548" t="s">
        <v>2645</v>
      </c>
      <c r="O380" s="1525"/>
      <c r="P380" s="1525"/>
      <c r="Q380" s="1525"/>
      <c r="R380" s="4"/>
      <c r="U380" s="4" t="s">
        <v>0</v>
      </c>
      <c r="V380" s="4"/>
      <c r="W380" s="4"/>
      <c r="X380" s="4"/>
      <c r="Y380" s="4"/>
      <c r="Z380" s="4"/>
      <c r="AA380" s="4"/>
      <c r="AB380" s="4"/>
      <c r="AC380" s="1548" t="s">
        <v>2645</v>
      </c>
      <c r="AD380" s="1525"/>
      <c r="AE380" s="1525"/>
      <c r="AF380" s="1525"/>
    </row>
    <row r="381" spans="1:34" ht="12.9" customHeight="1">
      <c r="E381" s="4" t="s">
        <v>1</v>
      </c>
      <c r="F381" s="4"/>
      <c r="G381" s="4"/>
      <c r="H381" s="4"/>
      <c r="I381" s="4"/>
      <c r="J381" s="4"/>
      <c r="K381" s="4"/>
      <c r="L381" s="4"/>
      <c r="N381" s="1548" t="s">
        <v>2645</v>
      </c>
      <c r="O381" s="1525"/>
      <c r="P381" s="1525"/>
      <c r="Q381" s="1525"/>
      <c r="R381" s="4"/>
      <c r="V381" s="4"/>
      <c r="W381" s="4"/>
      <c r="X381" s="4"/>
      <c r="Y381" s="4"/>
      <c r="Z381" s="4"/>
      <c r="AA381" s="4"/>
      <c r="AB381" s="4"/>
    </row>
    <row r="382" spans="1:34" ht="12.9" customHeight="1">
      <c r="E382" s="4" t="s">
        <v>2</v>
      </c>
      <c r="F382" s="4"/>
      <c r="G382" s="4"/>
      <c r="H382" s="4"/>
      <c r="I382" s="4"/>
      <c r="J382" s="4"/>
      <c r="K382" s="4"/>
      <c r="L382" s="4"/>
      <c r="N382" s="1780" t="s">
        <v>2685</v>
      </c>
      <c r="O382" s="1781"/>
      <c r="P382" s="1781"/>
      <c r="Q382" s="1781"/>
      <c r="R382" s="1781"/>
      <c r="S382" s="1781"/>
      <c r="T382" s="1781"/>
      <c r="U382" s="1781"/>
      <c r="V382" s="1781"/>
      <c r="W382" s="1781"/>
      <c r="X382" s="1781"/>
      <c r="Y382" s="1781"/>
      <c r="Z382" s="1781"/>
      <c r="AA382" s="1781"/>
      <c r="AB382" s="1781"/>
      <c r="AC382" s="1781"/>
      <c r="AD382" s="1781"/>
      <c r="AE382" s="1781"/>
      <c r="AF382" s="1781"/>
    </row>
    <row r="383" spans="1:34" ht="12.9" customHeight="1">
      <c r="E383" s="4"/>
      <c r="F383" s="4"/>
      <c r="G383" s="4"/>
      <c r="H383" s="4"/>
      <c r="I383" s="4"/>
      <c r="J383" s="4"/>
      <c r="K383" s="4"/>
      <c r="L383" s="4"/>
      <c r="N383" s="1782"/>
      <c r="O383" s="1782"/>
      <c r="P383" s="1782"/>
      <c r="Q383" s="1782"/>
      <c r="R383" s="1782"/>
      <c r="S383" s="1782"/>
      <c r="T383" s="1782"/>
      <c r="U383" s="1782"/>
      <c r="V383" s="1782"/>
      <c r="W383" s="1782"/>
      <c r="X383" s="1782"/>
      <c r="Y383" s="1782"/>
      <c r="Z383" s="1782"/>
      <c r="AA383" s="1782"/>
      <c r="AB383" s="1782"/>
      <c r="AC383" s="1782"/>
      <c r="AD383" s="1782"/>
      <c r="AE383" s="1782"/>
      <c r="AF383" s="1782"/>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2038</v>
      </c>
      <c r="F386" s="4"/>
      <c r="G386" s="4"/>
      <c r="H386" s="4"/>
      <c r="I386" s="4"/>
      <c r="J386" s="4"/>
      <c r="K386" s="4"/>
      <c r="L386" s="4"/>
      <c r="N386" t="s">
        <v>2034</v>
      </c>
      <c r="R386" s="27" t="s">
        <v>305</v>
      </c>
      <c r="S386" s="1783" t="s">
        <v>2645</v>
      </c>
      <c r="T386" s="1762"/>
      <c r="U386" s="1" t="s">
        <v>306</v>
      </c>
      <c r="V386" s="1783" t="s">
        <v>2645</v>
      </c>
      <c r="W386" s="1762"/>
      <c r="Y386" t="s">
        <v>2034</v>
      </c>
      <c r="AC386" s="27" t="s">
        <v>305</v>
      </c>
      <c r="AD386" s="1783" t="s">
        <v>2645</v>
      </c>
      <c r="AE386" s="1762"/>
      <c r="AF386" s="1" t="s">
        <v>306</v>
      </c>
      <c r="AG386" s="1783" t="s">
        <v>2645</v>
      </c>
      <c r="AH386" s="1762"/>
    </row>
    <row r="387" spans="1:36" ht="12.9" customHeight="1">
      <c r="E387" s="4" t="s">
        <v>986</v>
      </c>
      <c r="F387" s="4"/>
      <c r="G387" s="4"/>
      <c r="H387" s="4"/>
      <c r="I387" s="4"/>
      <c r="J387" s="4"/>
      <c r="K387" s="4"/>
      <c r="L387" s="4"/>
      <c r="N387" s="1783" t="s">
        <v>2645</v>
      </c>
      <c r="O387" s="1762"/>
      <c r="P387" s="1762"/>
    </row>
    <row r="388" spans="1:36" ht="12.9" customHeight="1">
      <c r="E388" s="204" t="s">
        <v>2039</v>
      </c>
      <c r="F388" s="4"/>
      <c r="G388" s="4"/>
      <c r="H388" s="4"/>
      <c r="I388" s="4"/>
      <c r="J388" s="4"/>
      <c r="K388" s="4"/>
      <c r="L388" s="4"/>
      <c r="AG388" s="1777" t="s">
        <v>591</v>
      </c>
      <c r="AH388" s="1777"/>
    </row>
    <row r="389" spans="1:36" ht="12.9" customHeight="1">
      <c r="E389" s="4"/>
      <c r="F389" s="4"/>
      <c r="G389" s="4" t="s">
        <v>2040</v>
      </c>
      <c r="H389" s="4"/>
      <c r="I389" s="4"/>
      <c r="J389" s="4"/>
      <c r="K389" s="4"/>
      <c r="L389" s="4"/>
      <c r="AG389" s="1777" t="s">
        <v>591</v>
      </c>
      <c r="AH389" s="1777"/>
    </row>
    <row r="390" spans="1:36" ht="12.9" customHeight="1">
      <c r="E390" s="4"/>
      <c r="F390" s="4"/>
      <c r="G390" s="320" t="s">
        <v>987</v>
      </c>
      <c r="H390" s="4"/>
      <c r="I390" s="4"/>
      <c r="J390" s="4"/>
      <c r="K390" s="4"/>
      <c r="L390" s="4"/>
      <c r="V390" s="1344" t="s">
        <v>591</v>
      </c>
      <c r="W390" s="1344"/>
      <c r="Y390" s="22" t="s">
        <v>979</v>
      </c>
    </row>
    <row r="391" spans="1:36" ht="12.9" customHeight="1">
      <c r="E391" s="4" t="s">
        <v>980</v>
      </c>
      <c r="F391" s="4"/>
      <c r="G391" s="4"/>
      <c r="H391" s="4"/>
      <c r="I391" s="4"/>
      <c r="J391" s="4"/>
      <c r="K391" s="4"/>
      <c r="L391" s="4"/>
      <c r="V391" s="1344" t="s">
        <v>591</v>
      </c>
      <c r="W391" s="1344"/>
      <c r="Y391" s="4" t="s">
        <v>981</v>
      </c>
    </row>
    <row r="392" spans="1:36" ht="12.9" customHeight="1"/>
    <row r="393" spans="1:36" ht="12.9" customHeight="1">
      <c r="A393" s="2" t="s">
        <v>78</v>
      </c>
      <c r="B393" s="2"/>
    </row>
    <row r="394" spans="1:36" ht="12.9" customHeight="1">
      <c r="D394" t="s">
        <v>428</v>
      </c>
      <c r="J394" s="1467" t="s">
        <v>2691</v>
      </c>
      <c r="K394" s="1468"/>
      <c r="L394" s="1468"/>
      <c r="M394" s="1468"/>
      <c r="N394" s="1468"/>
      <c r="O394" s="1468"/>
      <c r="P394" s="1468"/>
      <c r="Q394" s="1468"/>
      <c r="R394" s="1468"/>
      <c r="S394" s="1468"/>
      <c r="T394" s="1468"/>
      <c r="U394" s="1468"/>
      <c r="V394" s="8" t="s">
        <v>83</v>
      </c>
      <c r="W394" s="8"/>
      <c r="X394" s="8"/>
      <c r="Y394" s="8"/>
      <c r="Z394" s="8"/>
      <c r="AA394" s="8"/>
      <c r="AB394" s="8"/>
      <c r="AC394" s="1467" t="s">
        <v>2692</v>
      </c>
      <c r="AD394" s="1468"/>
      <c r="AE394" s="1468"/>
      <c r="AF394" s="1468"/>
      <c r="AG394" s="1468"/>
      <c r="AH394" s="1468"/>
      <c r="AI394" s="1468"/>
      <c r="AJ394" s="1468"/>
    </row>
    <row r="395" spans="1:36" ht="12.9" customHeight="1">
      <c r="D395" s="3" t="s">
        <v>1181</v>
      </c>
      <c r="J395" s="1442" t="s">
        <v>2645</v>
      </c>
      <c r="K395" s="1485"/>
      <c r="L395" s="1485"/>
      <c r="M395" s="1485"/>
      <c r="N395" s="1485"/>
      <c r="O395" s="1485"/>
      <c r="P395" s="1485"/>
      <c r="Q395" s="1485"/>
      <c r="R395" s="1485"/>
      <c r="S395" s="1485"/>
      <c r="T395" s="1485"/>
      <c r="U395" s="1485"/>
      <c r="V395" s="3" t="s">
        <v>1181</v>
      </c>
      <c r="W395" s="8"/>
      <c r="X395" s="8"/>
      <c r="Y395" s="8"/>
      <c r="Z395" s="8"/>
      <c r="AA395" s="8"/>
      <c r="AB395" s="8"/>
      <c r="AC395" s="1467" t="s">
        <v>2645</v>
      </c>
      <c r="AD395" s="1468"/>
      <c r="AE395" s="1468"/>
      <c r="AF395" s="1468"/>
      <c r="AG395" s="1468"/>
      <c r="AH395" s="1468"/>
      <c r="AI395" s="1468"/>
      <c r="AJ395" s="1468"/>
    </row>
    <row r="396" spans="1:36" ht="12.9" customHeight="1">
      <c r="D396" s="3" t="s">
        <v>441</v>
      </c>
      <c r="J396" s="1442" t="s">
        <v>2645</v>
      </c>
      <c r="K396" s="1485"/>
      <c r="L396" s="1485"/>
      <c r="M396" s="1485"/>
      <c r="N396" s="1485"/>
      <c r="O396" s="1485"/>
      <c r="P396" s="1485"/>
      <c r="Q396" s="1485"/>
      <c r="R396" s="1485"/>
      <c r="S396" s="1485"/>
      <c r="T396" s="1485"/>
      <c r="U396" s="1485"/>
      <c r="V396" s="3" t="s">
        <v>441</v>
      </c>
      <c r="W396" s="8"/>
      <c r="X396" s="8"/>
      <c r="Y396" s="8"/>
      <c r="Z396" s="8"/>
      <c r="AA396" s="8"/>
      <c r="AB396" s="8"/>
      <c r="AC396" s="1467" t="s">
        <v>2694</v>
      </c>
      <c r="AD396" s="1468"/>
      <c r="AE396" s="1468"/>
      <c r="AF396" s="1468"/>
      <c r="AG396" s="1468"/>
      <c r="AH396" s="1468"/>
      <c r="AI396" s="1468"/>
      <c r="AJ396" s="1468"/>
    </row>
    <row r="397" spans="1:36" ht="12.9" customHeight="1">
      <c r="D397" t="s">
        <v>1177</v>
      </c>
      <c r="J397" s="1786" t="s">
        <v>2693</v>
      </c>
      <c r="K397" s="1381"/>
      <c r="L397" s="1381"/>
      <c r="M397" s="1381"/>
      <c r="N397" s="1381"/>
      <c r="O397" s="1381"/>
      <c r="P397" s="1381"/>
      <c r="Q397" s="1381"/>
      <c r="R397" s="1381"/>
      <c r="S397" s="1381"/>
      <c r="T397" s="1381"/>
      <c r="U397" s="1381"/>
      <c r="V397" s="1468"/>
      <c r="W397" s="1468"/>
      <c r="X397" s="1468"/>
      <c r="Y397" s="1468"/>
      <c r="Z397" s="1468"/>
      <c r="AA397" s="1468"/>
      <c r="AB397" s="1468"/>
      <c r="AC397" s="1468"/>
      <c r="AD397" s="1468"/>
      <c r="AE397" s="1468"/>
      <c r="AF397" s="1468"/>
      <c r="AG397" s="1468"/>
      <c r="AH397" s="1468"/>
      <c r="AI397" s="1468"/>
      <c r="AJ397" s="1468"/>
    </row>
    <row r="398" spans="1:36" ht="12.9" customHeight="1">
      <c r="D398" t="s">
        <v>4</v>
      </c>
      <c r="Q398" s="1547">
        <v>44869</v>
      </c>
      <c r="R398" s="1547"/>
      <c r="S398" s="1547"/>
      <c r="T398" s="1547"/>
      <c r="U398" s="1547"/>
      <c r="V398" t="s">
        <v>309</v>
      </c>
      <c r="AI398" s="1344" t="s">
        <v>669</v>
      </c>
      <c r="AJ398" s="1344"/>
    </row>
    <row r="399" spans="1:36" ht="12.9" customHeight="1">
      <c r="D399" t="s">
        <v>5</v>
      </c>
      <c r="Q399" s="1769" t="s">
        <v>591</v>
      </c>
      <c r="R399" s="1770"/>
      <c r="S399" s="1770"/>
      <c r="T399" s="1770"/>
      <c r="U399" s="1770"/>
      <c r="W399" s="21" t="s">
        <v>74</v>
      </c>
      <c r="AG399" s="1839" t="s">
        <v>591</v>
      </c>
      <c r="AH399" s="1785"/>
      <c r="AI399" s="1785"/>
      <c r="AJ399" s="1785"/>
    </row>
    <row r="400" spans="1:36" ht="12.9" customHeight="1">
      <c r="D400" t="s">
        <v>427</v>
      </c>
      <c r="Q400" s="1840">
        <v>2600000</v>
      </c>
      <c r="R400" s="1840"/>
      <c r="S400" s="1840"/>
      <c r="T400" s="1840"/>
      <c r="U400" s="1840"/>
      <c r="V400" s="3" t="s">
        <v>1180</v>
      </c>
      <c r="AG400" s="1776">
        <v>44875</v>
      </c>
      <c r="AH400" s="1776"/>
      <c r="AI400" s="1776"/>
      <c r="AJ400" s="1776"/>
    </row>
    <row r="401" spans="4:36" ht="12.9" customHeight="1">
      <c r="D401" t="s">
        <v>88</v>
      </c>
      <c r="I401" s="1510" t="s">
        <v>2645</v>
      </c>
      <c r="J401" s="1511"/>
      <c r="K401" s="1511"/>
      <c r="L401" s="1511"/>
      <c r="M401" s="1511"/>
      <c r="N401" s="1511"/>
      <c r="Q401" s="4" t="s">
        <v>206</v>
      </c>
      <c r="S401" s="1789" t="s">
        <v>591</v>
      </c>
      <c r="T401" s="1790"/>
      <c r="U401" s="1790"/>
      <c r="V401" t="s">
        <v>73</v>
      </c>
      <c r="AI401" s="1344" t="s">
        <v>669</v>
      </c>
      <c r="AJ401" s="1344"/>
    </row>
    <row r="402" spans="4:36" ht="12.9" customHeight="1">
      <c r="D402" t="s">
        <v>310</v>
      </c>
      <c r="Q402" s="1839">
        <v>28500</v>
      </c>
      <c r="R402" s="1416"/>
      <c r="S402" s="1416"/>
      <c r="T402" s="1416"/>
      <c r="U402" s="1416"/>
      <c r="V402" t="s">
        <v>311</v>
      </c>
      <c r="AG402" s="1839">
        <v>1736616</v>
      </c>
      <c r="AH402" s="1785"/>
      <c r="AI402" s="1785"/>
      <c r="AJ402" s="1785"/>
    </row>
    <row r="403" spans="4:36" ht="12.9" customHeight="1">
      <c r="D403" t="s">
        <v>312</v>
      </c>
      <c r="Q403" s="1757">
        <v>0.01</v>
      </c>
      <c r="R403" s="1757"/>
      <c r="S403" s="1757"/>
      <c r="T403" s="1757"/>
      <c r="U403" s="1757"/>
      <c r="V403" t="s">
        <v>1162</v>
      </c>
      <c r="AG403" s="1785">
        <v>0</v>
      </c>
      <c r="AH403" s="1785"/>
      <c r="AI403" s="1785"/>
      <c r="AJ403" s="1785"/>
    </row>
    <row r="404" spans="4:36" ht="12.9" customHeight="1">
      <c r="D404" t="s">
        <v>1161</v>
      </c>
      <c r="AG404" s="1785">
        <v>0</v>
      </c>
      <c r="AH404" s="1785"/>
      <c r="AI404" s="1785"/>
      <c r="AJ404" s="1785"/>
    </row>
    <row r="405" spans="4:36" ht="12.9" customHeight="1">
      <c r="AG405" s="456"/>
      <c r="AH405" s="456"/>
      <c r="AI405" s="456"/>
      <c r="AJ405" s="456"/>
    </row>
    <row r="406" spans="4:36" ht="12.9" customHeight="1">
      <c r="D406" s="3" t="s">
        <v>2096</v>
      </c>
      <c r="AG406" s="456"/>
      <c r="AH406" s="456"/>
      <c r="AI406" s="1344" t="s">
        <v>669</v>
      </c>
      <c r="AJ406" s="1344"/>
    </row>
    <row r="407" spans="4:36" ht="12.9" customHeight="1">
      <c r="D407" s="3" t="s">
        <v>1655</v>
      </c>
      <c r="T407" s="1778" t="s">
        <v>2645</v>
      </c>
      <c r="U407" s="1779"/>
      <c r="V407" s="1779"/>
      <c r="W407" s="1779"/>
      <c r="X407" s="1779"/>
      <c r="Y407" s="1779"/>
      <c r="Z407" s="1779"/>
      <c r="AA407" s="1779"/>
      <c r="AB407" s="1779"/>
      <c r="AC407" s="1779"/>
      <c r="AD407" s="1779"/>
      <c r="AE407" s="1779"/>
      <c r="AF407" s="1779"/>
      <c r="AG407" s="1779"/>
      <c r="AH407" s="1779"/>
      <c r="AI407" s="1779"/>
      <c r="AJ407" s="1779"/>
    </row>
    <row r="408" spans="4:36" ht="12.9" customHeight="1">
      <c r="D408" s="3" t="s">
        <v>1654</v>
      </c>
      <c r="T408" s="1778" t="s">
        <v>2645</v>
      </c>
      <c r="U408" s="1779"/>
      <c r="V408" s="1779"/>
      <c r="W408" s="1779"/>
      <c r="X408" s="1779"/>
      <c r="Y408" s="1779"/>
      <c r="Z408" s="1779"/>
      <c r="AA408" s="1779"/>
      <c r="AB408" s="1779"/>
      <c r="AC408" s="1779"/>
      <c r="AD408" s="1779"/>
      <c r="AE408" s="1779"/>
      <c r="AF408" s="1779"/>
      <c r="AG408" s="1779"/>
      <c r="AH408" s="1779"/>
      <c r="AI408" s="1779"/>
      <c r="AJ408" s="1779"/>
    </row>
    <row r="409" spans="4:36" ht="12.9" customHeight="1">
      <c r="AG409" s="456"/>
      <c r="AH409" s="456"/>
      <c r="AI409" s="456"/>
      <c r="AJ409" s="456"/>
    </row>
    <row r="410" spans="4:36" ht="12.9" customHeight="1">
      <c r="D410" s="3" t="s">
        <v>1648</v>
      </c>
      <c r="S410" s="1779" t="s">
        <v>669</v>
      </c>
      <c r="T410" s="1779"/>
      <c r="U410" s="1779"/>
      <c r="V410" t="s">
        <v>1649</v>
      </c>
      <c r="AG410" s="1838" t="s">
        <v>591</v>
      </c>
      <c r="AH410" s="1838"/>
      <c r="AI410" s="1838"/>
      <c r="AJ410" s="1838"/>
    </row>
    <row r="411" spans="4:36" ht="12.9" customHeight="1">
      <c r="D411" s="3" t="s">
        <v>1646</v>
      </c>
      <c r="S411" s="1779" t="s">
        <v>591</v>
      </c>
      <c r="T411" s="1779"/>
      <c r="U411" s="1779"/>
      <c r="V411" t="s">
        <v>1651</v>
      </c>
      <c r="AE411" s="1784" t="s">
        <v>591</v>
      </c>
      <c r="AF411" s="1784"/>
      <c r="AG411" s="1784"/>
      <c r="AH411" s="1784"/>
      <c r="AI411" s="1784"/>
      <c r="AJ411" s="1784"/>
    </row>
    <row r="412" spans="4:36" ht="12.9" customHeight="1">
      <c r="D412" s="3" t="s">
        <v>1647</v>
      </c>
      <c r="K412" s="1822" t="s">
        <v>591</v>
      </c>
      <c r="L412" s="1822"/>
      <c r="M412" s="1822"/>
      <c r="N412" s="1822"/>
      <c r="O412" s="1822"/>
      <c r="P412" s="1822"/>
      <c r="Q412" s="1822"/>
      <c r="R412" s="1822"/>
      <c r="S412" s="1822"/>
      <c r="T412" s="1822"/>
      <c r="U412" s="1822"/>
      <c r="V412" s="1822"/>
      <c r="W412" s="1822"/>
      <c r="X412" s="1822"/>
      <c r="Y412" s="1822"/>
      <c r="Z412" s="1822"/>
      <c r="AA412" s="1822"/>
      <c r="AB412" s="1822"/>
      <c r="AC412" s="1822"/>
      <c r="AD412" s="1822"/>
      <c r="AE412" s="1822"/>
      <c r="AF412" s="1822"/>
      <c r="AG412" s="1822"/>
      <c r="AH412" s="1822"/>
      <c r="AI412" s="1822"/>
      <c r="AJ412" s="1822"/>
    </row>
    <row r="413" spans="4:36" ht="12.9" customHeight="1">
      <c r="D413" s="3" t="s">
        <v>1650</v>
      </c>
      <c r="K413" s="1822" t="s">
        <v>591</v>
      </c>
      <c r="L413" s="1822"/>
      <c r="M413" s="1822"/>
      <c r="N413" s="1822"/>
      <c r="O413" s="1822"/>
      <c r="P413" s="1822"/>
      <c r="Q413" s="1822"/>
      <c r="R413" s="1822"/>
      <c r="S413" s="1822"/>
      <c r="T413" s="1822"/>
      <c r="U413" s="1822"/>
      <c r="V413" s="1822"/>
      <c r="W413" s="1822"/>
      <c r="X413" s="1822"/>
      <c r="Y413" s="1822"/>
      <c r="Z413" s="1822"/>
      <c r="AA413" s="1822"/>
      <c r="AB413" s="1822"/>
      <c r="AC413" s="1822"/>
      <c r="AD413" s="1822"/>
      <c r="AE413" s="1822"/>
      <c r="AF413" s="1822"/>
      <c r="AG413" s="1822"/>
      <c r="AH413" s="1822"/>
      <c r="AI413" s="1822"/>
      <c r="AJ413" s="1822"/>
    </row>
    <row r="414" spans="4:36" ht="12.9" customHeight="1">
      <c r="D414" s="3" t="s">
        <v>1653</v>
      </c>
      <c r="E414" s="477"/>
      <c r="F414" s="477"/>
      <c r="G414" s="477"/>
      <c r="H414" s="477"/>
      <c r="I414" s="477"/>
      <c r="J414" s="477"/>
      <c r="K414" s="477"/>
      <c r="L414" s="477"/>
      <c r="M414" s="477"/>
      <c r="N414" s="477"/>
      <c r="O414" s="477"/>
      <c r="P414" s="477"/>
      <c r="Q414" s="477"/>
      <c r="R414" s="477"/>
      <c r="S414" s="1836" t="s">
        <v>2803</v>
      </c>
      <c r="T414" s="1836"/>
      <c r="U414" s="1836"/>
      <c r="V414" s="1836"/>
      <c r="W414" s="1836"/>
      <c r="X414" s="1836"/>
      <c r="Y414" s="1836"/>
      <c r="Z414" s="1836"/>
      <c r="AA414" s="1836"/>
      <c r="AB414" s="1836"/>
      <c r="AC414" s="1836"/>
      <c r="AD414" s="1836"/>
      <c r="AE414" s="1836"/>
      <c r="AF414" s="1836"/>
      <c r="AG414" s="1836"/>
      <c r="AH414" s="1836"/>
      <c r="AI414" s="1836"/>
      <c r="AJ414" s="1836"/>
    </row>
    <row r="415" spans="4:36" ht="12.9"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 customHeight="1">
      <c r="AG417" s="456"/>
      <c r="AH417" s="456"/>
      <c r="AI417" s="456"/>
      <c r="AJ417" s="456"/>
    </row>
    <row r="418" spans="1:39" ht="12.9" customHeight="1">
      <c r="A418" s="2" t="s">
        <v>589</v>
      </c>
      <c r="B418" s="2"/>
      <c r="C418" s="2" t="s">
        <v>111</v>
      </c>
    </row>
    <row r="419" spans="1:39" ht="12.9" customHeight="1">
      <c r="B419" s="2"/>
      <c r="C419" s="2"/>
      <c r="D419" s="2" t="s">
        <v>1203</v>
      </c>
      <c r="I419" s="1467" t="s">
        <v>2695</v>
      </c>
      <c r="J419" s="1467"/>
      <c r="K419" s="1467"/>
      <c r="L419" s="1467"/>
      <c r="M419" s="1467"/>
      <c r="N419" s="1467"/>
      <c r="O419" s="1467"/>
      <c r="P419" s="1467"/>
      <c r="Q419" s="1467"/>
      <c r="R419" s="1467"/>
      <c r="S419" s="1467"/>
      <c r="T419" s="1467"/>
      <c r="U419" s="1467"/>
      <c r="V419" s="1467"/>
      <c r="W419" s="1467"/>
      <c r="X419" s="1467"/>
      <c r="Y419" s="1467"/>
      <c r="Z419" s="1467"/>
      <c r="AA419" s="1467"/>
      <c r="AB419" s="1467"/>
      <c r="AC419" s="1467"/>
      <c r="AD419" s="1467"/>
      <c r="AE419" s="1467"/>
    </row>
    <row r="420" spans="1:39" ht="12.9" customHeight="1">
      <c r="E420" t="s">
        <v>106</v>
      </c>
      <c r="R420" s="1548" t="s">
        <v>545</v>
      </c>
      <c r="S420" s="1344"/>
      <c r="AC420" s="27" t="s">
        <v>570</v>
      </c>
      <c r="AD420" s="1525">
        <v>6</v>
      </c>
      <c r="AE420" s="1525"/>
    </row>
    <row r="421" spans="1:39" ht="12.9" customHeight="1">
      <c r="E421" t="s">
        <v>107</v>
      </c>
      <c r="R421" s="1344" t="s">
        <v>591</v>
      </c>
      <c r="S421" s="1344"/>
      <c r="AC421" s="27" t="s">
        <v>570</v>
      </c>
      <c r="AD421" s="1525" t="s">
        <v>591</v>
      </c>
      <c r="AE421" s="1525"/>
    </row>
    <row r="422" spans="1:39" ht="12.9" customHeight="1">
      <c r="E422" t="s">
        <v>108</v>
      </c>
      <c r="S422" s="1344" t="s">
        <v>591</v>
      </c>
      <c r="T422" s="1344"/>
    </row>
    <row r="423" spans="1:39" ht="12.9" customHeight="1">
      <c r="E423" t="s">
        <v>170</v>
      </c>
      <c r="H423" s="1842" t="s">
        <v>2787</v>
      </c>
      <c r="I423" s="1842"/>
      <c r="J423" s="1842"/>
      <c r="K423" s="1842"/>
      <c r="L423" s="1842"/>
      <c r="M423" s="1842"/>
      <c r="N423" s="1842"/>
      <c r="O423" s="1842"/>
      <c r="P423" s="1842"/>
      <c r="Q423" s="1842"/>
      <c r="R423" s="1842"/>
      <c r="S423" s="1842"/>
      <c r="T423" s="1842"/>
      <c r="U423" s="1842"/>
      <c r="V423" s="1842"/>
      <c r="W423" s="1842"/>
      <c r="X423" s="1842"/>
      <c r="Y423" s="1842"/>
      <c r="Z423" s="1842"/>
      <c r="AA423" s="1842"/>
      <c r="AB423" s="1842"/>
      <c r="AC423" s="1842"/>
      <c r="AD423" s="1842"/>
      <c r="AE423" s="1842"/>
    </row>
    <row r="424" spans="1:39" ht="12.9" customHeight="1">
      <c r="H424" s="1843"/>
      <c r="I424" s="1843"/>
      <c r="J424" s="1843"/>
      <c r="K424" s="1843"/>
      <c r="L424" s="1843"/>
      <c r="M424" s="1843"/>
      <c r="N424" s="1843"/>
      <c r="O424" s="1843"/>
      <c r="P424" s="1843"/>
      <c r="Q424" s="1843"/>
      <c r="R424" s="1843"/>
      <c r="S424" s="1843"/>
      <c r="T424" s="1843"/>
      <c r="U424" s="1843"/>
      <c r="V424" s="1843"/>
      <c r="W424" s="1843"/>
      <c r="X424" s="1843"/>
      <c r="Y424" s="1843"/>
      <c r="Z424" s="1843"/>
      <c r="AA424" s="1843"/>
      <c r="AB424" s="1843"/>
      <c r="AC424" s="1843"/>
      <c r="AD424" s="1843"/>
      <c r="AE424" s="1843"/>
    </row>
    <row r="425" spans="1:39" ht="12.9" customHeight="1"/>
    <row r="426" spans="1:39" ht="12.9" customHeight="1">
      <c r="A426" s="2" t="s">
        <v>590</v>
      </c>
      <c r="B426" s="2"/>
      <c r="C426" s="2"/>
      <c r="D426" s="2" t="s">
        <v>114</v>
      </c>
      <c r="AF426" s="2" t="s">
        <v>956</v>
      </c>
    </row>
    <row r="427" spans="1:39" ht="12.9" customHeight="1">
      <c r="E427" s="1762"/>
      <c r="F427" s="1762"/>
      <c r="G427" s="1762"/>
      <c r="H427" s="13" t="s">
        <v>115</v>
      </c>
      <c r="I427" s="1762"/>
      <c r="J427" s="1762"/>
      <c r="K427" s="1762"/>
      <c r="L427" t="s">
        <v>116</v>
      </c>
      <c r="N427" s="27" t="s">
        <v>575</v>
      </c>
      <c r="P427" s="1787">
        <v>0.5</v>
      </c>
      <c r="Q427" s="1787"/>
      <c r="R427" s="1787"/>
      <c r="S427" t="s">
        <v>117</v>
      </c>
      <c r="W427" s="1835">
        <f>IF(E427&gt;0,(E427*I427),(P427*43560))</f>
        <v>21780</v>
      </c>
      <c r="X427" s="1835"/>
      <c r="Y427" s="1835"/>
      <c r="Z427" t="s">
        <v>118</v>
      </c>
      <c r="AF427" s="1837">
        <f>IFERROR(IF(P427&gt;0,(AG446/P427),(AG446/(W427/43560))),0)</f>
        <v>190</v>
      </c>
      <c r="AG427" s="1837"/>
      <c r="AH427" s="1837"/>
      <c r="AM427" s="3"/>
    </row>
    <row r="428" spans="1:39" ht="12.9" customHeight="1">
      <c r="E428" t="s">
        <v>51</v>
      </c>
    </row>
    <row r="429" spans="1:39" ht="12.9" customHeight="1">
      <c r="E429" s="1846"/>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c r="AC429" s="1846"/>
      <c r="AD429" s="1846"/>
      <c r="AE429" s="1846"/>
      <c r="AF429" s="1846"/>
      <c r="AG429" s="1846"/>
      <c r="AH429" s="1846"/>
      <c r="AI429" s="1846"/>
      <c r="AJ429" s="1846"/>
    </row>
    <row r="430" spans="1:39" ht="12.9" customHeight="1">
      <c r="E430" s="118" t="s">
        <v>1723</v>
      </c>
      <c r="F430" s="1008"/>
      <c r="G430" s="1008"/>
      <c r="H430" s="1008"/>
      <c r="I430" s="1847">
        <v>0.502</v>
      </c>
      <c r="J430" s="1847"/>
      <c r="K430" s="1847"/>
      <c r="L430" s="1008"/>
      <c r="M430" s="118"/>
      <c r="N430" s="1008"/>
      <c r="O430" s="1008"/>
      <c r="P430" s="1546">
        <f>(DU763+DU786+DU808)/I430</f>
        <v>203.18725099601593</v>
      </c>
      <c r="Q430" s="1546"/>
      <c r="R430" s="1546"/>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592</v>
      </c>
      <c r="B432" s="2"/>
      <c r="C432" s="2"/>
      <c r="D432" s="2" t="s">
        <v>120</v>
      </c>
    </row>
    <row r="433" spans="1:36" ht="12.9" customHeight="1">
      <c r="E433" t="s">
        <v>121</v>
      </c>
      <c r="P433" s="1344">
        <v>1</v>
      </c>
      <c r="Q433" s="1344"/>
      <c r="S433" t="s">
        <v>189</v>
      </c>
      <c r="AE433" s="1344">
        <v>1</v>
      </c>
      <c r="AF433" s="1344"/>
    </row>
    <row r="434" spans="1:36" ht="12.9" customHeight="1">
      <c r="E434" t="s">
        <v>190</v>
      </c>
      <c r="P434" s="1344">
        <v>1</v>
      </c>
      <c r="Q434" s="1344"/>
      <c r="S434" t="s">
        <v>131</v>
      </c>
      <c r="AE434" s="1344" t="s">
        <v>591</v>
      </c>
      <c r="AF434" s="1344"/>
    </row>
    <row r="435" spans="1:36" ht="12.9" customHeight="1">
      <c r="F435" s="28" t="s">
        <v>132</v>
      </c>
    </row>
    <row r="436" spans="1:36" ht="12.9" customHeight="1">
      <c r="F436" s="1763"/>
      <c r="G436" s="1763"/>
      <c r="H436" s="1763"/>
      <c r="I436" s="1763"/>
      <c r="J436" s="1763"/>
      <c r="K436" s="1763"/>
      <c r="L436" s="1763"/>
      <c r="M436" s="1763"/>
      <c r="N436" s="1763"/>
      <c r="O436" s="1763"/>
      <c r="P436" s="1763"/>
      <c r="Q436" s="1763"/>
      <c r="R436" s="1763"/>
      <c r="S436" s="1763"/>
      <c r="T436" s="1763"/>
      <c r="U436" s="1763"/>
      <c r="V436" s="1763"/>
      <c r="W436" s="1763"/>
      <c r="X436" s="1763"/>
      <c r="Y436" s="1763"/>
      <c r="Z436" s="1763"/>
      <c r="AA436" s="1763"/>
      <c r="AB436" s="1763"/>
      <c r="AC436" s="1763"/>
      <c r="AD436" s="1763"/>
      <c r="AE436" s="1763"/>
      <c r="AF436" s="1763"/>
      <c r="AG436" s="1763"/>
      <c r="AH436" s="1763"/>
    </row>
    <row r="437" spans="1:36" ht="12.9" customHeight="1">
      <c r="F437" s="1764"/>
      <c r="G437" s="1764"/>
      <c r="H437" s="1764"/>
      <c r="I437" s="1764"/>
      <c r="J437" s="1764"/>
      <c r="K437" s="1764"/>
      <c r="L437" s="1764"/>
      <c r="M437" s="1764"/>
      <c r="N437" s="1764"/>
      <c r="O437" s="1764"/>
      <c r="P437" s="1764"/>
      <c r="Q437" s="1764"/>
      <c r="R437" s="1764"/>
      <c r="S437" s="1764"/>
      <c r="T437" s="1764"/>
      <c r="U437" s="1764"/>
      <c r="V437" s="1764"/>
      <c r="W437" s="1764"/>
      <c r="X437" s="1764"/>
      <c r="Y437" s="1764"/>
      <c r="Z437" s="1764"/>
      <c r="AA437" s="1764"/>
      <c r="AB437" s="1764"/>
      <c r="AC437" s="1764"/>
      <c r="AD437" s="1764"/>
      <c r="AE437" s="1764"/>
      <c r="AF437" s="1764"/>
      <c r="AG437" s="1764"/>
      <c r="AH437" s="1764"/>
    </row>
    <row r="438" spans="1:36" ht="12.9" customHeight="1">
      <c r="E438" t="s">
        <v>608</v>
      </c>
      <c r="P438" s="1"/>
      <c r="Q438" s="1344" t="s">
        <v>545</v>
      </c>
      <c r="R438" s="1344"/>
    </row>
    <row r="439" spans="1:36" ht="12.9" customHeight="1">
      <c r="F439" t="s">
        <v>609</v>
      </c>
      <c r="P439" s="1"/>
      <c r="Q439" s="1"/>
      <c r="AF439" s="1344" t="s">
        <v>591</v>
      </c>
      <c r="AG439" s="1761"/>
    </row>
    <row r="440" spans="1:36" ht="12.9" customHeight="1"/>
    <row r="441" spans="1:36" ht="12.9" customHeight="1">
      <c r="A441" s="2"/>
      <c r="B441" s="2"/>
      <c r="C441" s="2"/>
      <c r="E441" s="4" t="s">
        <v>308</v>
      </c>
      <c r="Z441" s="1344" t="s">
        <v>669</v>
      </c>
      <c r="AA441" s="1344"/>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707</v>
      </c>
      <c r="G443" s="40"/>
      <c r="I443" s="40"/>
      <c r="J443" s="40"/>
      <c r="K443" s="40"/>
      <c r="L443" s="40"/>
      <c r="M443" s="40"/>
      <c r="N443" s="40"/>
      <c r="O443" s="28"/>
      <c r="P443" s="40"/>
      <c r="Q443" s="40"/>
      <c r="R443" s="40"/>
      <c r="S443" s="40"/>
      <c r="T443" s="40"/>
      <c r="U443" s="40"/>
      <c r="V443" s="40"/>
      <c r="W443" s="40"/>
      <c r="Z443" s="1344" t="s">
        <v>591</v>
      </c>
      <c r="AA443" s="1344"/>
    </row>
    <row r="444" spans="1:36" ht="12.9" customHeight="1"/>
    <row r="445" spans="1:36" ht="12.9" customHeight="1">
      <c r="A445" s="2" t="s">
        <v>467</v>
      </c>
      <c r="B445" s="2"/>
      <c r="C445" s="2"/>
      <c r="D445" s="2" t="s">
        <v>764</v>
      </c>
      <c r="AF445" s="48"/>
    </row>
    <row r="446" spans="1:36" ht="12.9" customHeight="1">
      <c r="D446" s="1433" t="s">
        <v>43</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758"/>
      <c r="AG446" s="1765">
        <v>95</v>
      </c>
      <c r="AH446" s="1765"/>
      <c r="AI446" s="1765"/>
      <c r="AJ446" s="1765"/>
    </row>
    <row r="447" spans="1:36" ht="12.9" customHeight="1">
      <c r="D447" s="1530" t="s">
        <v>1221</v>
      </c>
      <c r="E447" s="1531"/>
      <c r="F447" s="1531"/>
      <c r="G447" s="1531"/>
      <c r="H447" s="1531"/>
      <c r="I447" s="1531"/>
      <c r="J447" s="1531"/>
      <c r="K447" s="1531"/>
      <c r="L447" s="1531"/>
      <c r="M447" s="1531"/>
      <c r="N447" s="1531"/>
      <c r="O447" s="1531"/>
      <c r="P447" s="1531"/>
      <c r="Q447" s="1531"/>
      <c r="R447" s="1531"/>
      <c r="S447" s="1531"/>
      <c r="T447" s="1531"/>
      <c r="U447" s="1531"/>
      <c r="V447" s="1531"/>
      <c r="W447" s="1531"/>
      <c r="X447" s="1531"/>
      <c r="Y447" s="1531"/>
      <c r="Z447" s="1531"/>
      <c r="AA447" s="1531"/>
      <c r="AB447" s="1531"/>
      <c r="AC447" s="1531"/>
      <c r="AD447" s="1531"/>
      <c r="AE447" s="1531"/>
      <c r="AF447" s="1532"/>
      <c r="AG447" s="1788">
        <v>0</v>
      </c>
      <c r="AH447" s="1739"/>
      <c r="AI447" s="1739"/>
      <c r="AJ447" s="1739"/>
    </row>
    <row r="448" spans="1:36" ht="12.9" customHeight="1">
      <c r="D448" s="1530" t="s">
        <v>1030</v>
      </c>
      <c r="E448" s="1531"/>
      <c r="F448" s="1531"/>
      <c r="G448" s="1531"/>
      <c r="H448" s="1531"/>
      <c r="I448" s="1531"/>
      <c r="J448" s="1531"/>
      <c r="K448" s="1531"/>
      <c r="L448" s="1531"/>
      <c r="M448" s="1531"/>
      <c r="N448" s="1531"/>
      <c r="O448" s="1531"/>
      <c r="P448" s="1531"/>
      <c r="Q448" s="1531"/>
      <c r="R448" s="1531"/>
      <c r="S448" s="1531"/>
      <c r="T448" s="1531"/>
      <c r="U448" s="1531"/>
      <c r="V448" s="1531"/>
      <c r="W448" s="1531"/>
      <c r="X448" s="1531"/>
      <c r="Y448" s="1531"/>
      <c r="Z448" s="1531"/>
      <c r="AA448" s="1531"/>
      <c r="AB448" s="1531"/>
      <c r="AC448" s="1531"/>
      <c r="AD448" s="1531"/>
      <c r="AE448" s="1531"/>
      <c r="AF448" s="1532"/>
      <c r="AG448" s="1765">
        <v>93</v>
      </c>
      <c r="AH448" s="1765"/>
      <c r="AI448" s="1765"/>
      <c r="AJ448" s="1765"/>
    </row>
    <row r="449" spans="4:55" ht="12.9" customHeight="1">
      <c r="D449" s="1530" t="s">
        <v>1031</v>
      </c>
      <c r="E449" s="1531"/>
      <c r="F449" s="1531"/>
      <c r="G449" s="1531"/>
      <c r="H449" s="1531"/>
      <c r="I449" s="1531"/>
      <c r="J449" s="1531"/>
      <c r="K449" s="1531"/>
      <c r="L449" s="1531"/>
      <c r="M449" s="1531"/>
      <c r="N449" s="1531"/>
      <c r="O449" s="1531"/>
      <c r="P449" s="1531"/>
      <c r="Q449" s="1531"/>
      <c r="R449" s="1531"/>
      <c r="S449" s="1531"/>
      <c r="T449" s="1531"/>
      <c r="U449" s="1531"/>
      <c r="V449" s="1531"/>
      <c r="W449" s="1531"/>
      <c r="X449" s="1531"/>
      <c r="Y449" s="1531"/>
      <c r="Z449" s="1531"/>
      <c r="AA449" s="1531"/>
      <c r="AB449" s="1531"/>
      <c r="AC449" s="1531"/>
      <c r="AD449" s="1531"/>
      <c r="AE449" s="1531"/>
      <c r="AF449" s="1532"/>
      <c r="AG449" s="1765">
        <v>93</v>
      </c>
      <c r="AH449" s="1765"/>
      <c r="AI449" s="1765"/>
      <c r="AJ449" s="1765"/>
    </row>
    <row r="450" spans="4:55" ht="12.9" customHeight="1">
      <c r="D450" s="1530" t="s">
        <v>1033</v>
      </c>
      <c r="E450" s="1531"/>
      <c r="F450" s="1531"/>
      <c r="G450" s="1531"/>
      <c r="H450" s="1531"/>
      <c r="I450" s="1531"/>
      <c r="J450" s="1531"/>
      <c r="K450" s="1531"/>
      <c r="L450" s="1531"/>
      <c r="M450" s="1531"/>
      <c r="N450" s="1531"/>
      <c r="O450" s="1531"/>
      <c r="P450" s="1531"/>
      <c r="Q450" s="1531"/>
      <c r="R450" s="1531"/>
      <c r="S450" s="1531"/>
      <c r="T450" s="1531"/>
      <c r="U450" s="1531"/>
      <c r="V450" s="1531"/>
      <c r="W450" s="1531"/>
      <c r="X450" s="1531"/>
      <c r="Y450" s="1531"/>
      <c r="Z450" s="1531"/>
      <c r="AA450" s="1531"/>
      <c r="AB450" s="1531"/>
      <c r="AC450" s="1531"/>
      <c r="AD450" s="1531"/>
      <c r="AE450" s="1531"/>
      <c r="AF450" s="1532"/>
      <c r="AG450" s="1759">
        <f>IF(ISERROR(AG449/AG448),0,AG449/AG448)</f>
        <v>1</v>
      </c>
      <c r="AH450" s="1759"/>
      <c r="AI450" s="1759"/>
      <c r="AJ450" s="1759"/>
    </row>
    <row r="451" spans="4:55" ht="12.9" customHeight="1">
      <c r="D451" s="1530" t="s">
        <v>1032</v>
      </c>
      <c r="E451" s="1531"/>
      <c r="F451" s="1531"/>
      <c r="G451" s="1531"/>
      <c r="H451" s="1531"/>
      <c r="I451" s="1531"/>
      <c r="J451" s="1531"/>
      <c r="K451" s="1531"/>
      <c r="L451" s="1531"/>
      <c r="M451" s="1531"/>
      <c r="N451" s="1531"/>
      <c r="O451" s="1531"/>
      <c r="P451" s="1531"/>
      <c r="Q451" s="1531"/>
      <c r="R451" s="1531"/>
      <c r="S451" s="1531"/>
      <c r="T451" s="1531"/>
      <c r="U451" s="1531"/>
      <c r="V451" s="1531"/>
      <c r="W451" s="1531"/>
      <c r="X451" s="1531"/>
      <c r="Y451" s="1531"/>
      <c r="Z451" s="1531"/>
      <c r="AA451" s="1531"/>
      <c r="AB451" s="1531"/>
      <c r="AC451" s="1531"/>
      <c r="AD451" s="1531"/>
      <c r="AE451" s="1531"/>
      <c r="AF451" s="1532"/>
      <c r="AG451" s="1760">
        <v>53039</v>
      </c>
      <c r="AH451" s="1760"/>
      <c r="AI451" s="1760"/>
      <c r="AJ451" s="1760"/>
    </row>
    <row r="452" spans="4:55" ht="12.9" customHeight="1">
      <c r="D452" s="1530" t="s">
        <v>1034</v>
      </c>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2"/>
      <c r="AG452" s="1760">
        <v>53039</v>
      </c>
      <c r="AH452" s="1760"/>
      <c r="AI452" s="1760"/>
      <c r="AJ452" s="1760"/>
    </row>
    <row r="453" spans="4:55" ht="12.9" customHeight="1">
      <c r="D453" s="1530" t="s">
        <v>1035</v>
      </c>
      <c r="E453" s="1531"/>
      <c r="F453" s="1531"/>
      <c r="G453" s="1531"/>
      <c r="H453" s="1531"/>
      <c r="I453" s="1531"/>
      <c r="J453" s="1531"/>
      <c r="K453" s="1531"/>
      <c r="L453" s="1531"/>
      <c r="M453" s="1531"/>
      <c r="N453" s="1531"/>
      <c r="O453" s="1531"/>
      <c r="P453" s="1531"/>
      <c r="Q453" s="1531"/>
      <c r="R453" s="1531"/>
      <c r="S453" s="1531"/>
      <c r="T453" s="1531"/>
      <c r="U453" s="1531"/>
      <c r="V453" s="1531"/>
      <c r="W453" s="1531"/>
      <c r="X453" s="1531"/>
      <c r="Y453" s="1531"/>
      <c r="Z453" s="1531"/>
      <c r="AA453" s="1531"/>
      <c r="AB453" s="1531"/>
      <c r="AC453" s="1531"/>
      <c r="AD453" s="1531"/>
      <c r="AE453" s="1531"/>
      <c r="AF453" s="1532"/>
      <c r="AG453" s="1759">
        <f>IF(ISERROR(AG452/AG451),0,AG452/AG451)</f>
        <v>1</v>
      </c>
      <c r="AH453" s="1759"/>
      <c r="AI453" s="1759"/>
      <c r="AJ453" s="1759"/>
    </row>
    <row r="454" spans="4:55" ht="12.9" customHeight="1">
      <c r="D454" s="1530" t="s">
        <v>1036</v>
      </c>
      <c r="E454" s="1531"/>
      <c r="F454" s="1531"/>
      <c r="G454" s="1531"/>
      <c r="H454" s="1531"/>
      <c r="I454" s="1531"/>
      <c r="J454" s="1531"/>
      <c r="K454" s="1531"/>
      <c r="L454" s="1531"/>
      <c r="M454" s="1531"/>
      <c r="N454" s="1531"/>
      <c r="O454" s="1531"/>
      <c r="P454" s="1531"/>
      <c r="Q454" s="1531"/>
      <c r="R454" s="1531"/>
      <c r="S454" s="1531"/>
      <c r="T454" s="1531"/>
      <c r="U454" s="1531"/>
      <c r="V454" s="1531"/>
      <c r="W454" s="1531"/>
      <c r="X454" s="1531"/>
      <c r="Y454" s="1531"/>
      <c r="Z454" s="1531"/>
      <c r="AA454" s="1531"/>
      <c r="AB454" s="1531"/>
      <c r="AC454" s="1531"/>
      <c r="AD454" s="1531"/>
      <c r="AE454" s="1531"/>
      <c r="AF454" s="1532"/>
      <c r="AG454" s="1759">
        <f>MIN(IF(AG450&gt;AG453,AG453,AG450),1)</f>
        <v>1</v>
      </c>
      <c r="AH454" s="1759"/>
      <c r="AI454" s="1759"/>
      <c r="AJ454" s="1759"/>
    </row>
    <row r="455" spans="4:55" ht="12.9" customHeight="1">
      <c r="D455" s="1530" t="s">
        <v>2041</v>
      </c>
      <c r="E455" s="1434"/>
      <c r="F455" s="1434"/>
      <c r="G455" s="1434"/>
      <c r="H455" s="1434"/>
      <c r="I455" s="1434"/>
      <c r="J455" s="1434"/>
      <c r="K455" s="1434"/>
      <c r="L455" s="1434"/>
      <c r="M455" s="1434"/>
      <c r="N455" s="1434"/>
      <c r="O455" s="1434"/>
      <c r="P455" s="1434"/>
      <c r="Q455" s="1434"/>
      <c r="R455" s="1434"/>
      <c r="S455" s="1434"/>
      <c r="T455" s="1434"/>
      <c r="U455" s="1434"/>
      <c r="V455" s="1434"/>
      <c r="W455" s="1434"/>
      <c r="X455" s="1434"/>
      <c r="Y455" s="1434"/>
      <c r="Z455" s="1434"/>
      <c r="AA455" s="1434"/>
      <c r="AB455" s="1434"/>
      <c r="AC455" s="1434"/>
      <c r="AD455" s="1434"/>
      <c r="AE455" s="1434"/>
      <c r="AF455" s="1758"/>
      <c r="AG455" s="1760">
        <v>2991</v>
      </c>
      <c r="AH455" s="1760"/>
      <c r="AI455" s="1760"/>
      <c r="AJ455" s="1760"/>
      <c r="AZ455" s="34"/>
      <c r="BA455" s="34"/>
      <c r="BB455" s="34"/>
      <c r="BC455" s="34"/>
    </row>
    <row r="456" spans="4:55" ht="12.9" customHeight="1">
      <c r="D456" s="1433" t="s">
        <v>569</v>
      </c>
      <c r="E456" s="1434"/>
      <c r="F456" s="1434"/>
      <c r="G456" s="1434"/>
      <c r="H456" s="1434"/>
      <c r="I456" s="1434"/>
      <c r="J456" s="1434"/>
      <c r="K456" s="1434"/>
      <c r="L456" s="1434"/>
      <c r="M456" s="1434"/>
      <c r="N456" s="1434"/>
      <c r="O456" s="1434"/>
      <c r="P456" s="1434"/>
      <c r="Q456" s="1434"/>
      <c r="R456" s="1434"/>
      <c r="S456" s="1434"/>
      <c r="T456" s="1434"/>
      <c r="U456" s="1434"/>
      <c r="V456" s="1434"/>
      <c r="W456" s="1434"/>
      <c r="X456" s="1434"/>
      <c r="Y456" s="1434"/>
      <c r="Z456" s="1434"/>
      <c r="AA456" s="1434"/>
      <c r="AB456" s="1434"/>
      <c r="AC456" s="1434"/>
      <c r="AD456" s="1434"/>
      <c r="AE456" s="1434"/>
      <c r="AF456" s="1758"/>
      <c r="AG456" s="1760">
        <v>0</v>
      </c>
      <c r="AH456" s="1760"/>
      <c r="AI456" s="1760"/>
      <c r="AJ456" s="1760"/>
      <c r="AZ456" s="3"/>
      <c r="BA456" s="3"/>
      <c r="BB456" s="3"/>
      <c r="BC456" s="3"/>
    </row>
    <row r="457" spans="4:55" ht="12.9" customHeight="1">
      <c r="D457" s="1530" t="s">
        <v>1204</v>
      </c>
      <c r="E457" s="1434"/>
      <c r="F457" s="1434"/>
      <c r="G457" s="1434"/>
      <c r="H457" s="1434"/>
      <c r="I457" s="1434"/>
      <c r="J457" s="1434"/>
      <c r="K457" s="1434"/>
      <c r="L457" s="1434"/>
      <c r="M457" s="1434"/>
      <c r="N457" s="1434"/>
      <c r="O457" s="1434"/>
      <c r="P457" s="1434"/>
      <c r="Q457" s="1434"/>
      <c r="R457" s="1434"/>
      <c r="S457" s="1434"/>
      <c r="T457" s="1434"/>
      <c r="U457" s="1434"/>
      <c r="V457" s="1434"/>
      <c r="W457" s="1434"/>
      <c r="X457" s="1434"/>
      <c r="Y457" s="1434"/>
      <c r="Z457" s="1434"/>
      <c r="AA457" s="1434"/>
      <c r="AB457" s="1434"/>
      <c r="AC457" s="1434"/>
      <c r="AD457" s="1434"/>
      <c r="AE457" s="1434"/>
      <c r="AF457" s="1758"/>
      <c r="AG457" s="1760">
        <v>4594</v>
      </c>
      <c r="AH457" s="1760"/>
      <c r="AI457" s="1760"/>
      <c r="AJ457" s="1760"/>
      <c r="AZ457" s="3"/>
      <c r="BA457" s="3"/>
      <c r="BB457" s="3"/>
      <c r="BC457" s="3"/>
    </row>
    <row r="458" spans="4:55" ht="12.9" customHeight="1">
      <c r="D458" s="1530" t="s">
        <v>1037</v>
      </c>
      <c r="E458" s="1434"/>
      <c r="F458" s="1434"/>
      <c r="G458" s="1434"/>
      <c r="H458" s="1434"/>
      <c r="I458" s="1434"/>
      <c r="J458" s="1434"/>
      <c r="K458" s="1434"/>
      <c r="L458" s="1434"/>
      <c r="M458" s="1434"/>
      <c r="N458" s="1434"/>
      <c r="O458" s="1434"/>
      <c r="P458" s="1434"/>
      <c r="Q458" s="1434"/>
      <c r="R458" s="1434"/>
      <c r="S458" s="1434"/>
      <c r="T458" s="1434"/>
      <c r="U458" s="1434"/>
      <c r="V458" s="1434"/>
      <c r="W458" s="1434"/>
      <c r="X458" s="1434"/>
      <c r="Y458" s="1434"/>
      <c r="Z458" s="1434"/>
      <c r="AA458" s="1434"/>
      <c r="AB458" s="1434"/>
      <c r="AC458" s="1434"/>
      <c r="AD458" s="1434"/>
      <c r="AE458" s="1434"/>
      <c r="AF458" s="1758"/>
      <c r="AG458" s="1760">
        <v>8100</v>
      </c>
      <c r="AH458" s="1760"/>
      <c r="AI458" s="1760"/>
      <c r="AJ458" s="1760"/>
      <c r="BB458" s="3"/>
      <c r="BC458" s="3"/>
    </row>
    <row r="459" spans="4:55" ht="12.9" customHeight="1">
      <c r="D459" s="1771" t="s">
        <v>1038</v>
      </c>
      <c r="E459" s="1772"/>
      <c r="F459" s="1772"/>
      <c r="G459" s="1772"/>
      <c r="H459" s="1772"/>
      <c r="I459" s="1772"/>
      <c r="J459" s="1772"/>
      <c r="K459" s="1772"/>
      <c r="L459" s="1772"/>
      <c r="M459" s="1772"/>
      <c r="N459" s="1772"/>
      <c r="O459" s="1772"/>
      <c r="P459" s="1772"/>
      <c r="Q459" s="1772"/>
      <c r="R459" s="1772"/>
      <c r="S459" s="1772"/>
      <c r="T459" s="1772"/>
      <c r="U459" s="1772"/>
      <c r="V459" s="1772"/>
      <c r="W459" s="1772"/>
      <c r="X459" s="1772"/>
      <c r="Y459" s="1772"/>
      <c r="Z459" s="1772"/>
      <c r="AA459" s="1772"/>
      <c r="AB459" s="1772"/>
      <c r="AC459" s="1772"/>
      <c r="AD459" s="1772"/>
      <c r="AE459" s="1772"/>
      <c r="AF459" s="1773"/>
      <c r="AG459" s="1845">
        <f>AG451+AG455+AG457+AG458</f>
        <v>68724</v>
      </c>
      <c r="AH459" s="1845"/>
      <c r="AI459" s="1845"/>
      <c r="AJ459" s="1845"/>
      <c r="AZ459" s="3"/>
      <c r="BA459" s="3"/>
      <c r="BB459" s="3"/>
      <c r="BC459" s="3"/>
    </row>
    <row r="460" spans="4:55" ht="12.9" customHeight="1">
      <c r="D460" s="1849" t="s">
        <v>1205</v>
      </c>
      <c r="E460" s="1849"/>
      <c r="F460" s="1849"/>
      <c r="G460" s="1849"/>
      <c r="H460" s="1849"/>
      <c r="I460" s="1849"/>
      <c r="J460" s="1849"/>
      <c r="K460" s="1849"/>
      <c r="L460" s="1849"/>
      <c r="M460" s="1849"/>
      <c r="N460" s="1849"/>
      <c r="O460" s="1849"/>
      <c r="P460" s="1849"/>
      <c r="Q460" s="1849"/>
      <c r="R460" s="1849"/>
      <c r="S460" s="1849"/>
      <c r="T460" s="1849"/>
      <c r="U460" s="1849"/>
      <c r="V460" s="1849"/>
      <c r="W460" s="1849"/>
      <c r="X460" s="1849"/>
      <c r="Y460" s="1849"/>
      <c r="Z460" s="1849"/>
      <c r="AA460" s="1849"/>
      <c r="AB460" s="1849"/>
      <c r="AC460" s="1849"/>
      <c r="AD460" s="1849"/>
      <c r="AE460" s="1849"/>
      <c r="AF460" s="1849"/>
      <c r="AG460" s="1849"/>
      <c r="AH460" s="1849"/>
      <c r="AI460" s="1849"/>
      <c r="AJ460" s="1849"/>
      <c r="AZ460" s="3"/>
      <c r="BA460" s="3"/>
      <c r="BB460" s="3"/>
      <c r="BC460" s="3"/>
    </row>
    <row r="461" spans="4:55" ht="12.9" customHeight="1">
      <c r="D461" s="1850"/>
      <c r="E461" s="1850"/>
      <c r="F461" s="1850"/>
      <c r="G461" s="1850"/>
      <c r="H461" s="1850"/>
      <c r="I461" s="1850"/>
      <c r="J461" s="1850"/>
      <c r="K461" s="1850"/>
      <c r="L461" s="1850"/>
      <c r="M461" s="1850"/>
      <c r="N461" s="1850"/>
      <c r="O461" s="1850"/>
      <c r="P461" s="1850"/>
      <c r="Q461" s="1850"/>
      <c r="R461" s="1850"/>
      <c r="S461" s="1850"/>
      <c r="T461" s="1850"/>
      <c r="U461" s="1850"/>
      <c r="V461" s="1850"/>
      <c r="W461" s="1850"/>
      <c r="X461" s="1850"/>
      <c r="Y461" s="1850"/>
      <c r="Z461" s="1850"/>
      <c r="AA461" s="1850"/>
      <c r="AB461" s="1850"/>
      <c r="AC461" s="1850"/>
      <c r="AD461" s="1850"/>
      <c r="AE461" s="1850"/>
      <c r="AF461" s="1850"/>
      <c r="AG461" s="1850"/>
      <c r="AH461" s="1850"/>
      <c r="AI461" s="1850"/>
      <c r="AJ461" s="1850"/>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41">
        <f>IF(AG446=0,"",'Sources and Uses Budget'!B105/Application!AG446)</f>
        <v>672265.64210526319</v>
      </c>
      <c r="AD463" s="1841"/>
      <c r="AE463" s="1841"/>
      <c r="AF463" s="1841"/>
      <c r="AG463" s="177"/>
      <c r="AH463" s="177"/>
      <c r="AI463" s="177"/>
      <c r="AJ463" s="183"/>
      <c r="AZ463" s="3"/>
      <c r="BA463" s="3" t="str">
        <f>AG583</f>
        <v>Yes</v>
      </c>
      <c r="BB463" s="3"/>
      <c r="BC463" s="3"/>
    </row>
    <row r="464" spans="4:55" ht="12.9"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41">
        <f>IF(AG446=0,"",'Sources and Uses Budget'!C105/Application!AG446)</f>
        <v>672265.64210526319</v>
      </c>
      <c r="AD464" s="1841"/>
      <c r="AE464" s="1841"/>
      <c r="AF464" s="1841"/>
      <c r="AG464" s="177"/>
      <c r="AH464" s="177"/>
      <c r="AI464" s="177"/>
      <c r="AJ464" s="183"/>
      <c r="AZ464" s="3"/>
      <c r="BA464" s="3"/>
      <c r="BB464" s="3"/>
      <c r="BC464" s="3"/>
    </row>
    <row r="465" spans="1:55" ht="12.9"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41">
        <f>IF(AG446=0,"",('Sources and Uses Budget'!$S$107+'Sources and Uses Budget'!$T$107)/Application!AG446)</f>
        <v>582502.48421052634</v>
      </c>
      <c r="AD465" s="1841"/>
      <c r="AE465" s="1841"/>
      <c r="AF465" s="1841"/>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854" t="s">
        <v>2053</v>
      </c>
      <c r="E473" s="1767"/>
      <c r="F473" s="1767"/>
      <c r="G473" s="1767"/>
      <c r="H473" s="1767"/>
      <c r="I473" s="1767"/>
      <c r="J473" s="1767"/>
      <c r="K473" s="1767"/>
      <c r="L473" s="1767"/>
      <c r="M473" s="1767"/>
      <c r="N473" s="1767"/>
      <c r="O473" s="1767"/>
      <c r="P473" s="1767"/>
      <c r="Q473" s="1767"/>
      <c r="R473" s="1767"/>
      <c r="S473" s="1767"/>
      <c r="T473" s="1767"/>
      <c r="U473" s="1767"/>
      <c r="V473" s="1768"/>
      <c r="W473" s="1549">
        <v>93</v>
      </c>
      <c r="X473" s="1550"/>
      <c r="Y473" s="155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766" t="s">
        <v>693</v>
      </c>
      <c r="E474" s="1767"/>
      <c r="F474" s="1767"/>
      <c r="G474" s="1767"/>
      <c r="H474" s="1767"/>
      <c r="I474" s="1767"/>
      <c r="J474" s="1767"/>
      <c r="K474" s="1767"/>
      <c r="L474" s="1767"/>
      <c r="M474" s="1767"/>
      <c r="N474" s="1767"/>
      <c r="O474" s="1767"/>
      <c r="P474" s="1767"/>
      <c r="Q474" s="1767"/>
      <c r="R474" s="1767"/>
      <c r="S474" s="1767"/>
      <c r="T474" s="1767"/>
      <c r="U474" s="1767"/>
      <c r="V474" s="1768"/>
      <c r="W474" s="1549">
        <v>0</v>
      </c>
      <c r="X474" s="1550"/>
      <c r="Y474" s="155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766" t="s">
        <v>694</v>
      </c>
      <c r="E475" s="1767"/>
      <c r="F475" s="1767"/>
      <c r="G475" s="1767"/>
      <c r="H475" s="1767"/>
      <c r="I475" s="1767"/>
      <c r="J475" s="1767"/>
      <c r="K475" s="1767"/>
      <c r="L475" s="1767"/>
      <c r="M475" s="1767"/>
      <c r="N475" s="1767"/>
      <c r="O475" s="1767"/>
      <c r="P475" s="1767"/>
      <c r="Q475" s="1767"/>
      <c r="R475" s="1767"/>
      <c r="S475" s="1767"/>
      <c r="T475" s="1767"/>
      <c r="U475" s="1767"/>
      <c r="V475" s="1768"/>
      <c r="W475" s="1549">
        <v>0</v>
      </c>
      <c r="X475" s="1550"/>
      <c r="Y475" s="1551"/>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766" t="s">
        <v>695</v>
      </c>
      <c r="E476" s="1767"/>
      <c r="F476" s="1767"/>
      <c r="G476" s="1767"/>
      <c r="H476" s="1767"/>
      <c r="I476" s="1767"/>
      <c r="J476" s="1767"/>
      <c r="K476" s="1767"/>
      <c r="L476" s="1767"/>
      <c r="M476" s="1767"/>
      <c r="N476" s="1767"/>
      <c r="O476" s="1767"/>
      <c r="P476" s="1767"/>
      <c r="Q476" s="1767"/>
      <c r="R476" s="1767"/>
      <c r="S476" s="1767"/>
      <c r="T476" s="1767"/>
      <c r="U476" s="1767"/>
      <c r="V476" s="1768"/>
      <c r="W476" s="1549">
        <v>0</v>
      </c>
      <c r="X476" s="1550"/>
      <c r="Y476" s="1551"/>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766" t="s">
        <v>881</v>
      </c>
      <c r="E477" s="1767"/>
      <c r="F477" s="1767"/>
      <c r="G477" s="1767"/>
      <c r="H477" s="1767"/>
      <c r="I477" s="1767"/>
      <c r="J477" s="1767"/>
      <c r="K477" s="1767"/>
      <c r="L477" s="1767"/>
      <c r="M477" s="1767"/>
      <c r="N477" s="1767"/>
      <c r="O477" s="1767"/>
      <c r="P477" s="1767"/>
      <c r="Q477" s="1767"/>
      <c r="R477" s="1767"/>
      <c r="S477" s="1767"/>
      <c r="T477" s="1767"/>
      <c r="U477" s="1767"/>
      <c r="V477" s="1768"/>
      <c r="W477" s="1549">
        <v>0</v>
      </c>
      <c r="X477" s="1550"/>
      <c r="Y477" s="1551"/>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766" t="s">
        <v>696</v>
      </c>
      <c r="E478" s="1767"/>
      <c r="F478" s="1767"/>
      <c r="G478" s="1767"/>
      <c r="H478" s="1767"/>
      <c r="I478" s="1767"/>
      <c r="J478" s="1767"/>
      <c r="K478" s="1767"/>
      <c r="L478" s="1767"/>
      <c r="M478" s="1767"/>
      <c r="N478" s="1767"/>
      <c r="O478" s="1767"/>
      <c r="P478" s="1767"/>
      <c r="Q478" s="1767"/>
      <c r="R478" s="1767"/>
      <c r="S478" s="1767"/>
      <c r="T478" s="1767"/>
      <c r="U478" s="1767"/>
      <c r="V478" s="1768"/>
      <c r="W478" s="1549">
        <v>0</v>
      </c>
      <c r="X478" s="1550"/>
      <c r="Y478" s="1551"/>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766" t="s">
        <v>1011</v>
      </c>
      <c r="E479" s="1767"/>
      <c r="F479" s="1767"/>
      <c r="G479" s="1767"/>
      <c r="H479" s="1767"/>
      <c r="I479" s="1767"/>
      <c r="J479" s="1767"/>
      <c r="K479" s="1767"/>
      <c r="L479" s="1767"/>
      <c r="M479" s="1767"/>
      <c r="N479" s="1767"/>
      <c r="O479" s="1767"/>
      <c r="P479" s="1767"/>
      <c r="Q479" s="1767"/>
      <c r="R479" s="1767"/>
      <c r="S479" s="1767"/>
      <c r="T479" s="1767"/>
      <c r="U479" s="1767"/>
      <c r="V479" s="1768"/>
      <c r="W479" s="1549">
        <v>0</v>
      </c>
      <c r="X479" s="1550"/>
      <c r="Y479" s="1551"/>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854" t="s">
        <v>2143</v>
      </c>
      <c r="E480" s="1860"/>
      <c r="F480" s="1860"/>
      <c r="G480" s="1860"/>
      <c r="H480" s="1860"/>
      <c r="I480" s="1860"/>
      <c r="J480" s="1860"/>
      <c r="K480" s="1860"/>
      <c r="L480" s="1860"/>
      <c r="M480" s="1860"/>
      <c r="N480" s="1860"/>
      <c r="O480" s="1860"/>
      <c r="P480" s="1860"/>
      <c r="Q480" s="1860"/>
      <c r="R480" s="1860"/>
      <c r="S480" s="1860"/>
      <c r="T480" s="1860"/>
      <c r="U480" s="1860"/>
      <c r="V480" s="1861"/>
      <c r="W480" s="1549">
        <v>0</v>
      </c>
      <c r="X480" s="1550"/>
      <c r="Y480" s="1551"/>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854" t="s">
        <v>1642</v>
      </c>
      <c r="E481" s="1767"/>
      <c r="F481" s="1767"/>
      <c r="G481" s="1767"/>
      <c r="H481" s="1767"/>
      <c r="I481" s="1767"/>
      <c r="J481" s="1767"/>
      <c r="K481" s="1767"/>
      <c r="L481" s="1767"/>
      <c r="M481" s="1767"/>
      <c r="N481" s="1767"/>
      <c r="O481" s="1767"/>
      <c r="P481" s="1767"/>
      <c r="Q481" s="1767"/>
      <c r="R481" s="1767"/>
      <c r="S481" s="1767"/>
      <c r="T481" s="1767"/>
      <c r="U481" s="1767"/>
      <c r="V481" s="1768"/>
      <c r="W481" s="1549">
        <f>2+2+3+2+4+1+2+3+2+2+1</f>
        <v>24</v>
      </c>
      <c r="X481" s="1550"/>
      <c r="Y481" s="1551"/>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170</v>
      </c>
      <c r="E482" s="244"/>
      <c r="F482" s="245"/>
      <c r="G482" s="1851"/>
      <c r="H482" s="1852"/>
      <c r="I482" s="1852"/>
      <c r="J482" s="1852"/>
      <c r="K482" s="1852"/>
      <c r="L482" s="1852"/>
      <c r="M482" s="1852"/>
      <c r="N482" s="1852"/>
      <c r="O482" s="1852"/>
      <c r="P482" s="1852"/>
      <c r="Q482" s="1852"/>
      <c r="R482" s="1852"/>
      <c r="S482" s="1852"/>
      <c r="T482" s="1852"/>
      <c r="U482" s="1852"/>
      <c r="V482" s="1853"/>
      <c r="W482" s="1549">
        <v>0</v>
      </c>
      <c r="X482" s="1550"/>
      <c r="Y482" s="1551"/>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 customHeight="1">
      <c r="AU487" s="95"/>
      <c r="AV487" s="95"/>
      <c r="AW487" s="95"/>
      <c r="AX487" s="95"/>
      <c r="AY487" s="95"/>
      <c r="AZ487" s="3"/>
      <c r="BA487" s="3" t="str">
        <f>AG607</f>
        <v>No</v>
      </c>
      <c r="BB487" s="3"/>
      <c r="BC487" s="3"/>
    </row>
    <row r="488" spans="1:55" ht="12.9" customHeight="1">
      <c r="A488" s="1509" t="s">
        <v>810</v>
      </c>
      <c r="B488" s="1509"/>
      <c r="C488" s="1509"/>
      <c r="D488" s="1509"/>
      <c r="E488" s="1509"/>
      <c r="F488" s="1509"/>
      <c r="G488" s="1509"/>
      <c r="H488" s="1509"/>
      <c r="I488" s="1509"/>
      <c r="J488" s="1509"/>
      <c r="K488" s="1509"/>
      <c r="L488" s="1509"/>
      <c r="M488" s="1509"/>
      <c r="N488" s="1509"/>
      <c r="O488" s="1509"/>
      <c r="P488" s="1509"/>
      <c r="Q488" s="1509"/>
      <c r="R488" s="1509"/>
      <c r="S488" s="1509"/>
      <c r="T488" s="1509"/>
      <c r="U488" s="1509"/>
      <c r="V488" s="1509"/>
      <c r="W488" s="1509"/>
      <c r="X488" s="1509"/>
      <c r="Y488" s="1509"/>
      <c r="Z488" s="1509"/>
      <c r="AA488" s="1509"/>
      <c r="AB488" s="1509"/>
      <c r="AC488" s="1509"/>
      <c r="AD488" s="1509"/>
      <c r="AE488" s="1509"/>
      <c r="AF488" s="1509"/>
      <c r="AG488" s="1509"/>
      <c r="AH488" s="1509"/>
      <c r="AI488" s="1509"/>
      <c r="AJ488" s="1509"/>
      <c r="AK488" s="1509"/>
      <c r="AL488" s="1509"/>
      <c r="AM488" s="1509"/>
      <c r="AN488" s="1509"/>
      <c r="AO488" s="1509"/>
      <c r="AP488" s="1509"/>
      <c r="AQ488" s="1509"/>
      <c r="AR488" s="1509"/>
      <c r="AS488" s="1509"/>
      <c r="AT488" s="1509"/>
      <c r="AU488" s="95"/>
      <c r="AV488" s="95"/>
      <c r="AW488" s="95"/>
      <c r="AX488" s="95"/>
      <c r="AY488" s="95"/>
      <c r="AZ488" s="3"/>
      <c r="BB488" s="3"/>
      <c r="BC488" s="3"/>
    </row>
    <row r="489" spans="1:55" ht="12.9" customHeight="1">
      <c r="A489" s="1509"/>
      <c r="B489" s="1509"/>
      <c r="C489" s="1509"/>
      <c r="D489" s="1509"/>
      <c r="E489" s="1509"/>
      <c r="F489" s="1509"/>
      <c r="G489" s="1509"/>
      <c r="H489" s="1509"/>
      <c r="I489" s="1509"/>
      <c r="J489" s="1509"/>
      <c r="K489" s="1509"/>
      <c r="L489" s="1509"/>
      <c r="M489" s="1509"/>
      <c r="N489" s="1509"/>
      <c r="O489" s="1509"/>
      <c r="P489" s="1509"/>
      <c r="Q489" s="1509"/>
      <c r="R489" s="1509"/>
      <c r="S489" s="1509"/>
      <c r="T489" s="1509"/>
      <c r="U489" s="1509"/>
      <c r="V489" s="1509"/>
      <c r="W489" s="1509"/>
      <c r="X489" s="1509"/>
      <c r="Y489" s="1509"/>
      <c r="Z489" s="1509"/>
      <c r="AA489" s="1509"/>
      <c r="AB489" s="1509"/>
      <c r="AC489" s="1509"/>
      <c r="AD489" s="1509"/>
      <c r="AE489" s="1509"/>
      <c r="AF489" s="1509"/>
      <c r="AG489" s="1509"/>
      <c r="AH489" s="1509"/>
      <c r="AI489" s="1509"/>
      <c r="AJ489" s="1509"/>
      <c r="AK489" s="1509"/>
      <c r="AL489" s="1509"/>
      <c r="AM489" s="1509"/>
      <c r="AN489" s="1509"/>
      <c r="AO489" s="1509"/>
      <c r="AP489" s="1509"/>
      <c r="AQ489" s="1509"/>
      <c r="AR489" s="1509"/>
      <c r="AS489" s="1509"/>
      <c r="AT489" s="1509"/>
      <c r="AZ489" s="3"/>
      <c r="BB489" s="3"/>
      <c r="BC489" s="3"/>
    </row>
    <row r="490" spans="1:55" ht="12.9" customHeight="1">
      <c r="AZ490" s="3"/>
      <c r="BB490" s="3"/>
      <c r="BC490" s="3"/>
    </row>
    <row r="491" spans="1:55" ht="12.9" customHeight="1">
      <c r="A491" s="2" t="s">
        <v>319</v>
      </c>
      <c r="C491" s="2" t="s">
        <v>808</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844" t="s">
        <v>393</v>
      </c>
      <c r="R493" s="1774"/>
      <c r="S493" s="1774"/>
      <c r="T493" s="1774"/>
      <c r="U493" s="1774"/>
      <c r="V493" s="1774"/>
      <c r="W493" s="1774"/>
      <c r="X493" s="1774"/>
      <c r="Y493" s="1774"/>
      <c r="Z493" s="1774"/>
      <c r="AA493" s="1774"/>
      <c r="AB493" s="1774"/>
      <c r="AC493" s="1774"/>
      <c r="AD493" s="1774"/>
      <c r="AE493" s="1774"/>
      <c r="AF493" s="1774"/>
      <c r="AG493" s="1774"/>
      <c r="AH493" s="1774"/>
      <c r="AI493" s="1774"/>
      <c r="AJ493" s="1774"/>
      <c r="AK493" s="1775"/>
      <c r="AZ493" s="3"/>
      <c r="BB493" s="3"/>
      <c r="BC493" s="3"/>
    </row>
    <row r="494" spans="1:55" ht="12.9" customHeight="1">
      <c r="B494" s="45" t="s">
        <v>394</v>
      </c>
      <c r="C494" s="5"/>
      <c r="D494" s="5"/>
      <c r="E494" s="5"/>
      <c r="F494" s="5"/>
      <c r="G494" s="5"/>
      <c r="H494" s="5"/>
      <c r="I494" s="5"/>
      <c r="J494" s="5"/>
      <c r="K494" s="5"/>
      <c r="L494" s="5"/>
      <c r="M494" s="5"/>
      <c r="N494" s="5"/>
      <c r="O494" s="5"/>
      <c r="P494" s="5"/>
      <c r="Q494" s="1441" t="s">
        <v>2726</v>
      </c>
      <c r="R494" s="1485"/>
      <c r="S494" s="1485"/>
      <c r="T494" s="1485"/>
      <c r="U494" s="1485"/>
      <c r="V494" s="1485"/>
      <c r="W494" s="1485"/>
      <c r="X494" s="1485"/>
      <c r="Y494" s="1485"/>
      <c r="Z494" s="1485"/>
      <c r="AA494" s="1485"/>
      <c r="AB494" s="1485"/>
      <c r="AC494" s="1485"/>
      <c r="AD494" s="1485"/>
      <c r="AE494" s="1485"/>
      <c r="AF494" s="1485"/>
      <c r="AG494" s="1485"/>
      <c r="AH494" s="1485"/>
      <c r="AI494" s="1485"/>
      <c r="AJ494" s="1485"/>
      <c r="AK494" s="1623"/>
      <c r="AZ494" s="3"/>
      <c r="BB494" s="3"/>
      <c r="BC494" s="3"/>
    </row>
    <row r="495" spans="1:55" ht="12.9" customHeight="1">
      <c r="B495" s="45" t="s">
        <v>395</v>
      </c>
      <c r="C495" s="5"/>
      <c r="D495" s="5"/>
      <c r="E495" s="5"/>
      <c r="F495" s="5"/>
      <c r="G495" s="5"/>
      <c r="H495" s="5"/>
      <c r="I495" s="5"/>
      <c r="J495" s="5"/>
      <c r="K495" s="5"/>
      <c r="L495" s="5"/>
      <c r="M495" s="5"/>
      <c r="N495" s="5"/>
      <c r="O495" s="5"/>
      <c r="P495" s="5"/>
      <c r="Q495" s="1441" t="s">
        <v>2727</v>
      </c>
      <c r="R495" s="1485"/>
      <c r="S495" s="1485"/>
      <c r="T495" s="1485"/>
      <c r="U495" s="1485"/>
      <c r="V495" s="1485"/>
      <c r="W495" s="1485"/>
      <c r="X495" s="1485"/>
      <c r="Y495" s="1485"/>
      <c r="Z495" s="1485"/>
      <c r="AA495" s="1485"/>
      <c r="AB495" s="1485"/>
      <c r="AC495" s="1485"/>
      <c r="AD495" s="1485"/>
      <c r="AE495" s="1485"/>
      <c r="AF495" s="1485"/>
      <c r="AG495" s="1485"/>
      <c r="AH495" s="1485"/>
      <c r="AI495" s="1485"/>
      <c r="AJ495" s="1485"/>
      <c r="AK495" s="1623"/>
      <c r="AZ495" s="3"/>
      <c r="BB495" s="3"/>
      <c r="BC495" s="3"/>
    </row>
    <row r="496" spans="1:55" ht="12.9" customHeight="1">
      <c r="B496" s="45" t="s">
        <v>396</v>
      </c>
      <c r="C496" s="5"/>
      <c r="D496" s="5"/>
      <c r="E496" s="5"/>
      <c r="F496" s="5"/>
      <c r="G496" s="5"/>
      <c r="H496" s="5"/>
      <c r="I496" s="5"/>
      <c r="J496" s="5"/>
      <c r="K496" s="5"/>
      <c r="L496" s="5"/>
      <c r="M496" s="5"/>
      <c r="N496" s="5"/>
      <c r="O496" s="5"/>
      <c r="P496" s="5"/>
      <c r="Q496" s="1441" t="s">
        <v>2777</v>
      </c>
      <c r="R496" s="1485"/>
      <c r="S496" s="1485"/>
      <c r="T496" s="1485"/>
      <c r="U496" s="1485"/>
      <c r="V496" s="1485"/>
      <c r="W496" s="1485"/>
      <c r="X496" s="1485"/>
      <c r="Y496" s="1485"/>
      <c r="Z496" s="1485"/>
      <c r="AA496" s="1485"/>
      <c r="AB496" s="1485"/>
      <c r="AC496" s="1485"/>
      <c r="AD496" s="1485"/>
      <c r="AE496" s="1485"/>
      <c r="AF496" s="1485"/>
      <c r="AG496" s="1485"/>
      <c r="AH496" s="1485"/>
      <c r="AI496" s="1485"/>
      <c r="AJ496" s="1485"/>
      <c r="AK496" s="1623"/>
      <c r="AZ496" s="3"/>
      <c r="BA496" s="3"/>
      <c r="BB496" s="3"/>
      <c r="BC496" s="3"/>
    </row>
    <row r="497" spans="1:66" ht="12.9" customHeight="1">
      <c r="B497" s="1866" t="s">
        <v>397</v>
      </c>
      <c r="C497" s="1867"/>
      <c r="D497" s="1867"/>
      <c r="E497" s="1867"/>
      <c r="F497" s="1867"/>
      <c r="G497" s="1867"/>
      <c r="H497" s="1867"/>
      <c r="I497" s="1867"/>
      <c r="J497" s="1867"/>
      <c r="K497" s="1867"/>
      <c r="L497" s="1867"/>
      <c r="M497" s="1867"/>
      <c r="N497" s="1867"/>
      <c r="O497" s="1867"/>
      <c r="P497" s="1868"/>
      <c r="Q497" s="1872" t="s">
        <v>669</v>
      </c>
      <c r="R497" s="1873"/>
      <c r="S497" s="1792" t="s">
        <v>166</v>
      </c>
      <c r="T497" s="1793"/>
      <c r="U497" s="1793"/>
      <c r="V497" s="1793"/>
      <c r="W497" s="1793"/>
      <c r="X497" s="1793"/>
      <c r="Y497" s="1793"/>
      <c r="Z497" s="1793"/>
      <c r="AA497" s="1793"/>
      <c r="AB497" s="1793"/>
      <c r="AC497" s="1793"/>
      <c r="AD497" s="1793"/>
      <c r="AE497" s="1793"/>
      <c r="AF497" s="1793"/>
      <c r="AG497" s="1793"/>
      <c r="AH497" s="1793"/>
      <c r="AI497" s="1793"/>
      <c r="AJ497" s="1793"/>
      <c r="AK497" s="1794"/>
      <c r="AZ497" s="3"/>
      <c r="BA497" s="3"/>
      <c r="BB497" s="3"/>
      <c r="BC497" s="3"/>
    </row>
    <row r="498" spans="1:66" ht="12.9" customHeight="1">
      <c r="B498" s="1869"/>
      <c r="C498" s="1870"/>
      <c r="D498" s="1870"/>
      <c r="E498" s="1870"/>
      <c r="F498" s="1870"/>
      <c r="G498" s="1870"/>
      <c r="H498" s="1870"/>
      <c r="I498" s="1870"/>
      <c r="J498" s="1870"/>
      <c r="K498" s="1870"/>
      <c r="L498" s="1870"/>
      <c r="M498" s="1870"/>
      <c r="N498" s="1870"/>
      <c r="O498" s="1870"/>
      <c r="P498" s="1871"/>
      <c r="Q498" s="1874"/>
      <c r="R498" s="1875"/>
      <c r="S498" s="1795"/>
      <c r="T498" s="1764"/>
      <c r="U498" s="1764"/>
      <c r="V498" s="1764"/>
      <c r="W498" s="1764"/>
      <c r="X498" s="1764"/>
      <c r="Y498" s="1764"/>
      <c r="Z498" s="1764"/>
      <c r="AA498" s="1764"/>
      <c r="AB498" s="1764"/>
      <c r="AC498" s="1764"/>
      <c r="AD498" s="1764"/>
      <c r="AE498" s="1764"/>
      <c r="AF498" s="1764"/>
      <c r="AG498" s="1764"/>
      <c r="AH498" s="1764"/>
      <c r="AI498" s="1764"/>
      <c r="AJ498" s="1764"/>
      <c r="AK498" s="1796"/>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856" t="s">
        <v>669</v>
      </c>
      <c r="R499" s="1857"/>
      <c r="S499" s="1857"/>
      <c r="T499" s="1857"/>
      <c r="U499" s="1857"/>
      <c r="V499" s="1857"/>
      <c r="W499" s="1857"/>
      <c r="X499" s="1857"/>
      <c r="Y499" s="1857"/>
      <c r="Z499" s="1857"/>
      <c r="AA499" s="1857"/>
      <c r="AB499" s="1857"/>
      <c r="AC499" s="1857"/>
      <c r="AD499" s="1857"/>
      <c r="AE499" s="1857"/>
      <c r="AF499" s="1857"/>
      <c r="AG499" s="1857"/>
      <c r="AH499" s="1857"/>
      <c r="AI499" s="1857"/>
      <c r="AJ499" s="1857"/>
      <c r="AK499" s="1858"/>
      <c r="AZ499" s="3"/>
      <c r="BA499" s="3"/>
      <c r="BB499" s="3"/>
      <c r="BC499" s="3"/>
    </row>
    <row r="500" spans="1:66" ht="12.9" customHeight="1">
      <c r="B500" s="45" t="s">
        <v>398</v>
      </c>
      <c r="C500" s="5"/>
      <c r="D500" s="5"/>
      <c r="E500" s="5"/>
      <c r="F500" s="5"/>
      <c r="G500" s="5"/>
      <c r="H500" s="5"/>
      <c r="I500" s="5"/>
      <c r="J500" s="5"/>
      <c r="K500" s="5"/>
      <c r="L500" s="5"/>
      <c r="M500" s="5"/>
      <c r="N500" s="5"/>
      <c r="O500" s="5"/>
      <c r="P500" s="5"/>
      <c r="Q500" s="1441" t="s">
        <v>2725</v>
      </c>
      <c r="R500" s="1485"/>
      <c r="S500" s="1485"/>
      <c r="T500" s="1485"/>
      <c r="U500" s="1485"/>
      <c r="V500" s="1485"/>
      <c r="W500" s="1485"/>
      <c r="X500" s="1485"/>
      <c r="Y500" s="1485"/>
      <c r="Z500" s="1485"/>
      <c r="AA500" s="1485"/>
      <c r="AB500" s="1485"/>
      <c r="AC500" s="1485"/>
      <c r="AD500" s="1485"/>
      <c r="AE500" s="1485"/>
      <c r="AF500" s="1485"/>
      <c r="AG500" s="1485"/>
      <c r="AH500" s="1485"/>
      <c r="AI500" s="1485"/>
      <c r="AJ500" s="1485"/>
      <c r="AK500" s="1623"/>
      <c r="AZ500" s="3"/>
      <c r="BA500" s="3"/>
      <c r="BB500" s="3"/>
      <c r="BC500" s="3"/>
    </row>
    <row r="501" spans="1:66" ht="12.9" customHeight="1">
      <c r="B501" s="45" t="s">
        <v>399</v>
      </c>
      <c r="C501" s="5"/>
      <c r="D501" s="5"/>
      <c r="E501" s="5"/>
      <c r="F501" s="5"/>
      <c r="G501" s="5"/>
      <c r="H501" s="5"/>
      <c r="I501" s="5"/>
      <c r="J501" s="5"/>
      <c r="K501" s="5"/>
      <c r="L501" s="5"/>
      <c r="M501" s="5"/>
      <c r="N501" s="5"/>
      <c r="O501" s="5"/>
      <c r="P501" s="5"/>
      <c r="Q501" s="1441" t="s">
        <v>2728</v>
      </c>
      <c r="R501" s="1485"/>
      <c r="S501" s="1485"/>
      <c r="T501" s="1485"/>
      <c r="U501" s="1485"/>
      <c r="V501" s="1485"/>
      <c r="W501" s="1485"/>
      <c r="X501" s="1485"/>
      <c r="Y501" s="1485"/>
      <c r="Z501" s="1485"/>
      <c r="AA501" s="1485"/>
      <c r="AB501" s="1485"/>
      <c r="AC501" s="1485"/>
      <c r="AD501" s="1485"/>
      <c r="AE501" s="1485"/>
      <c r="AF501" s="1485"/>
      <c r="AG501" s="1485"/>
      <c r="AH501" s="1485"/>
      <c r="AI501" s="1485"/>
      <c r="AJ501" s="1485"/>
      <c r="AK501" s="1623"/>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622">
        <v>21</v>
      </c>
      <c r="R502" s="1485"/>
      <c r="S502" s="1485"/>
      <c r="T502" s="1485"/>
      <c r="U502" s="1485"/>
      <c r="V502" s="1485"/>
      <c r="W502" s="1485"/>
      <c r="X502" s="1485"/>
      <c r="Y502" s="1485"/>
      <c r="Z502" s="1485"/>
      <c r="AA502" s="1485"/>
      <c r="AB502" s="1485"/>
      <c r="AC502" s="1485"/>
      <c r="AD502" s="1485"/>
      <c r="AE502" s="1485"/>
      <c r="AF502" s="1485"/>
      <c r="AG502" s="1485"/>
      <c r="AH502" s="1485"/>
      <c r="AI502" s="1485"/>
      <c r="AJ502" s="1485"/>
      <c r="AK502" s="1623"/>
      <c r="AZ502" s="3"/>
      <c r="BA502" s="3"/>
      <c r="BB502" s="3"/>
      <c r="BC502" s="3"/>
    </row>
    <row r="503" spans="1:66" ht="12.9" customHeight="1">
      <c r="B503" s="121" t="s">
        <v>1657</v>
      </c>
      <c r="C503" s="5"/>
      <c r="D503" s="5"/>
      <c r="E503" s="5"/>
      <c r="F503" s="5"/>
      <c r="G503" s="5"/>
      <c r="H503" s="5"/>
      <c r="I503" s="5"/>
      <c r="J503" s="5"/>
      <c r="K503" s="5"/>
      <c r="L503" s="5"/>
      <c r="M503" s="1534">
        <v>21</v>
      </c>
      <c r="N503" s="1535"/>
      <c r="O503" s="1535"/>
      <c r="P503" s="1536"/>
      <c r="Q503" s="121" t="s">
        <v>1658</v>
      </c>
      <c r="R503" s="5"/>
      <c r="S503" s="5"/>
      <c r="T503" s="5"/>
      <c r="U503" s="5"/>
      <c r="V503" s="5"/>
      <c r="W503" s="5"/>
      <c r="X503" s="5"/>
      <c r="Y503" s="5"/>
      <c r="Z503" s="5"/>
      <c r="AA503" s="5"/>
      <c r="AB503" s="5"/>
      <c r="AC503" s="5"/>
      <c r="AD503" s="5"/>
      <c r="AE503" s="5"/>
      <c r="AF503" s="5"/>
      <c r="AG503" s="5"/>
      <c r="AH503" s="1859">
        <v>0</v>
      </c>
      <c r="AI503" s="1535"/>
      <c r="AJ503" s="1535"/>
      <c r="AK503" s="1536"/>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44" t="s">
        <v>401</v>
      </c>
      <c r="AD507" s="1774"/>
      <c r="AE507" s="1774"/>
      <c r="AF507" s="1774"/>
      <c r="AG507" s="1774"/>
      <c r="AH507" s="1774"/>
      <c r="AI507" s="1774"/>
      <c r="AJ507" s="1774"/>
      <c r="AK507" s="1775"/>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44" t="s">
        <v>402</v>
      </c>
      <c r="AD508" s="1774"/>
      <c r="AE508" s="1774"/>
      <c r="AF508" s="1774"/>
      <c r="AG508" s="50" t="s">
        <v>403</v>
      </c>
      <c r="AH508" s="1774" t="s">
        <v>404</v>
      </c>
      <c r="AI508" s="1774"/>
      <c r="AJ508" s="1774"/>
      <c r="AK508" s="1775"/>
      <c r="AZ508" s="3"/>
      <c r="BA508" s="3"/>
      <c r="BB508" s="3"/>
      <c r="BC508" s="3"/>
      <c r="BD508" s="3"/>
      <c r="BE508" s="3"/>
      <c r="BF508" s="3"/>
      <c r="BG508" s="3"/>
      <c r="BH508" s="3"/>
      <c r="BI508" s="3"/>
      <c r="BJ508" s="3"/>
      <c r="BK508" s="3"/>
      <c r="BL508" s="3"/>
      <c r="BM508" s="3"/>
      <c r="BN508" s="3"/>
    </row>
    <row r="509" spans="1:66" ht="12.9" customHeight="1">
      <c r="B509" s="1702" t="s">
        <v>405</v>
      </c>
      <c r="C509" s="1512"/>
      <c r="D509" s="1512"/>
      <c r="E509" s="1512"/>
      <c r="F509" s="1512"/>
      <c r="G509" s="1512"/>
      <c r="H509" s="1513"/>
      <c r="I509" s="42" t="s">
        <v>406</v>
      </c>
      <c r="J509" s="42"/>
      <c r="K509" s="42"/>
      <c r="L509" s="42"/>
      <c r="M509" s="42"/>
      <c r="N509" s="42"/>
      <c r="O509" s="42"/>
      <c r="P509" s="42"/>
      <c r="Q509" s="42"/>
      <c r="R509" s="42"/>
      <c r="S509" s="42"/>
      <c r="T509" s="42"/>
      <c r="U509" s="42"/>
      <c r="V509" s="42"/>
      <c r="W509" s="42"/>
      <c r="AC509" s="1524" t="s">
        <v>591</v>
      </c>
      <c r="AD509" s="1525"/>
      <c r="AE509" s="1525"/>
      <c r="AF509" s="1525"/>
      <c r="AG509" s="13" t="s">
        <v>403</v>
      </c>
      <c r="AH509" s="1381" t="s">
        <v>591</v>
      </c>
      <c r="AI509" s="1381"/>
      <c r="AJ509" s="1381"/>
      <c r="AK509" s="1382"/>
      <c r="AZ509" s="3"/>
      <c r="BA509" s="3"/>
      <c r="BB509" s="3"/>
      <c r="BC509" s="3"/>
      <c r="BD509" s="3"/>
      <c r="BE509" s="3"/>
      <c r="BF509" s="3"/>
      <c r="BG509" s="3"/>
      <c r="BH509" s="3"/>
      <c r="BI509" s="3"/>
      <c r="BJ509" s="3"/>
      <c r="BK509" s="3"/>
      <c r="BL509" s="3"/>
      <c r="BM509" s="3"/>
      <c r="BN509" s="3"/>
    </row>
    <row r="510" spans="1:66" ht="12.9" customHeight="1">
      <c r="B510" s="1703"/>
      <c r="C510" s="1514"/>
      <c r="D510" s="1514"/>
      <c r="E510" s="1514"/>
      <c r="F510" s="1514"/>
      <c r="G510" s="1514"/>
      <c r="H510" s="1515"/>
      <c r="I510" s="48" t="s">
        <v>407</v>
      </c>
      <c r="J510" s="48"/>
      <c r="K510" s="48"/>
      <c r="L510" s="48"/>
      <c r="M510" s="48"/>
      <c r="N510" s="48"/>
      <c r="O510" s="48"/>
      <c r="P510" s="48"/>
      <c r="Q510" s="48"/>
      <c r="R510" s="48"/>
      <c r="S510" s="48"/>
      <c r="T510" s="48"/>
      <c r="U510" s="48"/>
      <c r="V510" s="48"/>
      <c r="W510" s="48"/>
      <c r="X510" s="48"/>
      <c r="Y510" s="48"/>
      <c r="Z510" s="48"/>
      <c r="AA510" s="48"/>
      <c r="AB510" s="48"/>
      <c r="AC510" s="1524">
        <v>11</v>
      </c>
      <c r="AD510" s="1525"/>
      <c r="AE510" s="1525"/>
      <c r="AF510" s="1525"/>
      <c r="AG510" s="38" t="s">
        <v>403</v>
      </c>
      <c r="AH510" s="1381">
        <v>2022</v>
      </c>
      <c r="AI510" s="1381"/>
      <c r="AJ510" s="1381"/>
      <c r="AK510" s="1382"/>
      <c r="AZ510" s="3"/>
      <c r="BA510" s="3"/>
      <c r="BB510" s="3"/>
      <c r="BC510" s="3"/>
      <c r="BD510" s="3"/>
      <c r="BE510" s="3"/>
      <c r="BF510" s="3"/>
      <c r="BG510" s="3"/>
      <c r="BH510" s="3"/>
      <c r="BI510" s="3"/>
      <c r="BJ510" s="3"/>
      <c r="BK510" s="3"/>
      <c r="BL510" s="3"/>
      <c r="BM510" s="3"/>
      <c r="BN510" s="3"/>
    </row>
    <row r="511" spans="1:66" ht="12.9" customHeight="1">
      <c r="B511" s="1702" t="s">
        <v>408</v>
      </c>
      <c r="C511" s="1512"/>
      <c r="D511" s="1512"/>
      <c r="E511" s="1512"/>
      <c r="F511" s="1512"/>
      <c r="G511" s="1512"/>
      <c r="H511" s="1513"/>
      <c r="I511" s="42" t="s">
        <v>409</v>
      </c>
      <c r="J511" s="42"/>
      <c r="K511" s="42"/>
      <c r="L511" s="42"/>
      <c r="M511" s="42"/>
      <c r="N511" s="42"/>
      <c r="O511" s="42"/>
      <c r="P511" s="42"/>
      <c r="Q511" s="42"/>
      <c r="R511" s="42"/>
      <c r="S511" s="42"/>
      <c r="T511" s="42"/>
      <c r="U511" s="42"/>
      <c r="V511" s="42"/>
      <c r="W511" s="42"/>
      <c r="AC511" s="1524" t="s">
        <v>591</v>
      </c>
      <c r="AD511" s="1525"/>
      <c r="AE511" s="1525"/>
      <c r="AF511" s="1525"/>
      <c r="AG511" s="13" t="s">
        <v>403</v>
      </c>
      <c r="AH511" s="1381" t="s">
        <v>591</v>
      </c>
      <c r="AI511" s="1381"/>
      <c r="AJ511" s="1381"/>
      <c r="AK511" s="1382"/>
      <c r="AZ511" s="3"/>
      <c r="BA511" s="3"/>
      <c r="BB511" s="3"/>
      <c r="BC511" s="3"/>
      <c r="BD511" s="3"/>
      <c r="BE511" s="3"/>
      <c r="BF511" s="3"/>
      <c r="BG511" s="3"/>
      <c r="BH511" s="3"/>
      <c r="BI511" s="3"/>
      <c r="BJ511" s="3"/>
      <c r="BK511" s="3"/>
      <c r="BL511" s="3"/>
      <c r="BM511" s="3"/>
      <c r="BN511" s="3"/>
    </row>
    <row r="512" spans="1:66" ht="12.9" customHeight="1">
      <c r="B512" s="1703"/>
      <c r="C512" s="1514"/>
      <c r="D512" s="1514"/>
      <c r="E512" s="1514"/>
      <c r="F512" s="1514"/>
      <c r="G512" s="1514"/>
      <c r="H512" s="1515"/>
      <c r="I512" t="s">
        <v>410</v>
      </c>
      <c r="AC512" s="1524" t="s">
        <v>591</v>
      </c>
      <c r="AD512" s="1525"/>
      <c r="AE512" s="1525"/>
      <c r="AF512" s="1525"/>
      <c r="AG512" s="13" t="s">
        <v>403</v>
      </c>
      <c r="AH512" s="1381" t="s">
        <v>591</v>
      </c>
      <c r="AI512" s="1381"/>
      <c r="AJ512" s="1381"/>
      <c r="AK512" s="1382"/>
      <c r="AZ512" s="3"/>
      <c r="BA512" s="3"/>
      <c r="BB512" s="3"/>
      <c r="BC512" s="3"/>
      <c r="BD512" s="3"/>
      <c r="BE512" s="3"/>
      <c r="BF512" s="3"/>
      <c r="BG512" s="3"/>
      <c r="BH512" s="3"/>
      <c r="BI512" s="3"/>
      <c r="BJ512" s="3"/>
      <c r="BK512" s="3"/>
      <c r="BL512" s="3"/>
      <c r="BM512" s="3"/>
      <c r="BN512" s="3"/>
    </row>
    <row r="513" spans="2:66" ht="12.9" customHeight="1">
      <c r="B513" s="1703"/>
      <c r="C513" s="1514"/>
      <c r="D513" s="1514"/>
      <c r="E513" s="1514"/>
      <c r="F513" s="1514"/>
      <c r="G513" s="1514"/>
      <c r="H513" s="1515"/>
      <c r="I513" t="s">
        <v>411</v>
      </c>
      <c r="AC513" s="1524">
        <v>12</v>
      </c>
      <c r="AD513" s="1525"/>
      <c r="AE513" s="1525"/>
      <c r="AF513" s="1525"/>
      <c r="AG513" s="13" t="s">
        <v>403</v>
      </c>
      <c r="AH513" s="1381">
        <v>2023</v>
      </c>
      <c r="AI513" s="1381"/>
      <c r="AJ513" s="1381"/>
      <c r="AK513" s="1382"/>
      <c r="AZ513" s="3"/>
      <c r="BA513" s="3"/>
      <c r="BB513" s="3"/>
      <c r="BC513" s="3"/>
      <c r="BD513" s="3"/>
      <c r="BE513" s="3"/>
      <c r="BF513" s="3"/>
      <c r="BG513" s="3"/>
      <c r="BH513" s="3"/>
      <c r="BI513" s="3"/>
      <c r="BJ513" s="3"/>
      <c r="BK513" s="3"/>
      <c r="BL513" s="3"/>
      <c r="BM513" s="3"/>
      <c r="BN513" s="3"/>
    </row>
    <row r="514" spans="2:66" ht="12.9" customHeight="1">
      <c r="B514" s="1703"/>
      <c r="C514" s="1514"/>
      <c r="D514" s="1514"/>
      <c r="E514" s="1514"/>
      <c r="F514" s="1514"/>
      <c r="G514" s="1514"/>
      <c r="H514" s="1515"/>
      <c r="I514" t="s">
        <v>412</v>
      </c>
      <c r="AC514" s="1524">
        <v>12</v>
      </c>
      <c r="AD514" s="1525"/>
      <c r="AE514" s="1525"/>
      <c r="AF514" s="1525"/>
      <c r="AG514" s="13" t="s">
        <v>403</v>
      </c>
      <c r="AH514" s="1381">
        <v>2026</v>
      </c>
      <c r="AI514" s="1381"/>
      <c r="AJ514" s="1381"/>
      <c r="AK514" s="1382"/>
      <c r="AZ514" s="3"/>
      <c r="BA514" s="3"/>
      <c r="BB514" s="3"/>
      <c r="BC514" s="3"/>
      <c r="BD514" s="3"/>
      <c r="BE514" s="3"/>
      <c r="BF514" s="3"/>
      <c r="BG514" s="3"/>
      <c r="BH514" s="3"/>
      <c r="BI514" s="3"/>
      <c r="BJ514" s="3"/>
      <c r="BK514" s="3"/>
      <c r="BL514" s="3"/>
      <c r="BM514" s="3"/>
      <c r="BN514" s="3"/>
    </row>
    <row r="515" spans="2:66" ht="12.9" customHeight="1">
      <c r="B515" s="1703"/>
      <c r="C515" s="1514"/>
      <c r="D515" s="1514"/>
      <c r="E515" s="1514"/>
      <c r="F515" s="1514"/>
      <c r="G515" s="1514"/>
      <c r="H515" s="1515"/>
      <c r="I515" s="3" t="s">
        <v>413</v>
      </c>
      <c r="AC515" s="1368">
        <v>12</v>
      </c>
      <c r="AD515" s="1369"/>
      <c r="AE515" s="1369"/>
      <c r="AF515" s="1369"/>
      <c r="AG515" s="13" t="s">
        <v>403</v>
      </c>
      <c r="AH515" s="1381">
        <v>2026</v>
      </c>
      <c r="AI515" s="1381"/>
      <c r="AJ515" s="1381"/>
      <c r="AK515" s="1382"/>
      <c r="AZ515" s="3"/>
      <c r="BA515" s="3"/>
      <c r="BB515" s="3"/>
      <c r="BC515" s="3"/>
      <c r="BD515" s="3"/>
      <c r="BE515" s="3"/>
      <c r="BF515" s="3"/>
      <c r="BG515" s="3"/>
      <c r="BH515" s="3"/>
      <c r="BI515" s="3"/>
      <c r="BJ515" s="3"/>
      <c r="BK515" s="3"/>
      <c r="BL515" s="3"/>
      <c r="BM515" s="3"/>
      <c r="BN515" s="3"/>
    </row>
    <row r="516" spans="2:66" ht="12.9" customHeight="1">
      <c r="B516" s="1703"/>
      <c r="C516" s="1514"/>
      <c r="D516" s="1514"/>
      <c r="E516" s="1514"/>
      <c r="F516" s="1514"/>
      <c r="G516" s="1514"/>
      <c r="H516" s="1515"/>
      <c r="I516" s="892" t="s">
        <v>170</v>
      </c>
      <c r="J516" s="48"/>
      <c r="K516" s="48"/>
      <c r="L516" s="1778" t="s">
        <v>334</v>
      </c>
      <c r="M516" s="1779"/>
      <c r="N516" s="1779"/>
      <c r="O516" s="1779"/>
      <c r="P516" s="1779"/>
      <c r="Q516" s="1779"/>
      <c r="R516" s="1779"/>
      <c r="S516" s="1779"/>
      <c r="T516" s="1779"/>
      <c r="U516" s="1779"/>
      <c r="V516" s="1779"/>
      <c r="W516" s="1779"/>
      <c r="X516" s="1779"/>
      <c r="Y516" s="1779"/>
      <c r="Z516" s="1779"/>
      <c r="AA516" s="1779"/>
      <c r="AB516" s="1855"/>
      <c r="AC516" s="1524" t="s">
        <v>591</v>
      </c>
      <c r="AD516" s="1525"/>
      <c r="AE516" s="1525"/>
      <c r="AF516" s="1525"/>
      <c r="AG516" s="38" t="s">
        <v>403</v>
      </c>
      <c r="AH516" s="1786" t="s">
        <v>591</v>
      </c>
      <c r="AI516" s="1381"/>
      <c r="AJ516" s="1381"/>
      <c r="AK516" s="1382"/>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765" t="s">
        <v>545</v>
      </c>
      <c r="AD517" s="1765"/>
      <c r="AE517" s="1765"/>
      <c r="AF517" s="1765"/>
      <c r="AG517" s="13"/>
      <c r="AH517" s="1346"/>
      <c r="AI517" s="1346"/>
      <c r="AJ517" s="1346"/>
      <c r="AK517" s="1848"/>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368">
        <v>2</v>
      </c>
      <c r="AD518" s="1369"/>
      <c r="AE518" s="1369"/>
      <c r="AF518" s="1370"/>
      <c r="AG518" s="13"/>
      <c r="AH518" s="1346"/>
      <c r="AI518" s="1346"/>
      <c r="AJ518" s="1346"/>
      <c r="AK518" s="1848"/>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63">
        <v>0.5</v>
      </c>
      <c r="AD520" s="1864"/>
      <c r="AE520" s="1864"/>
      <c r="AF520" s="1865"/>
      <c r="AG520" s="38"/>
      <c r="AH520" s="1876"/>
      <c r="AI520" s="1876"/>
      <c r="AJ520" s="1876"/>
      <c r="AK520" s="1877"/>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91" t="s">
        <v>402</v>
      </c>
      <c r="AD521" s="1682"/>
      <c r="AE521" s="1682"/>
      <c r="AF521" s="1682"/>
      <c r="AG521" s="38" t="s">
        <v>403</v>
      </c>
      <c r="AH521" s="1682" t="s">
        <v>404</v>
      </c>
      <c r="AI521" s="1682"/>
      <c r="AJ521" s="1682"/>
      <c r="AK521" s="1862"/>
      <c r="AZ521" s="3"/>
      <c r="BA521" s="3"/>
      <c r="BB521" s="3"/>
      <c r="BC521" s="3"/>
      <c r="BD521" s="3"/>
      <c r="BE521" s="3"/>
      <c r="BF521" s="3"/>
      <c r="BG521" s="3"/>
      <c r="BH521" s="3"/>
      <c r="BI521" s="3"/>
      <c r="BJ521" s="3"/>
      <c r="BK521" s="3"/>
      <c r="BL521" s="3"/>
      <c r="BM521" s="3"/>
      <c r="BN521" s="3" t="s">
        <v>2058</v>
      </c>
    </row>
    <row r="522" spans="2:66" ht="12.9" customHeight="1">
      <c r="B522" s="1702" t="s">
        <v>414</v>
      </c>
      <c r="C522" s="1512"/>
      <c r="D522" s="1512"/>
      <c r="E522" s="1512"/>
      <c r="F522" s="1512"/>
      <c r="G522" s="1512"/>
      <c r="H522" s="1513"/>
      <c r="I522" s="42" t="s">
        <v>415</v>
      </c>
      <c r="J522" s="42"/>
      <c r="K522" s="42"/>
      <c r="L522" s="42"/>
      <c r="M522" s="42"/>
      <c r="N522" s="42"/>
      <c r="O522" s="42"/>
      <c r="P522" s="42"/>
      <c r="Q522" s="42"/>
      <c r="R522" s="42"/>
      <c r="S522" s="42"/>
      <c r="T522" s="42"/>
      <c r="U522" s="42"/>
      <c r="V522" s="42"/>
      <c r="W522" s="42"/>
      <c r="AC522" s="1524">
        <v>5</v>
      </c>
      <c r="AD522" s="1525"/>
      <c r="AE522" s="1525"/>
      <c r="AF522" s="1525"/>
      <c r="AG522" s="13" t="s">
        <v>403</v>
      </c>
      <c r="AH522" s="1381">
        <v>2026</v>
      </c>
      <c r="AI522" s="1381"/>
      <c r="AJ522" s="1381"/>
      <c r="AK522" s="1382"/>
      <c r="AZ522" s="3"/>
      <c r="BA522" s="3"/>
      <c r="BB522" s="3"/>
      <c r="BC522" s="3"/>
      <c r="BD522" s="3"/>
      <c r="BE522" s="3"/>
      <c r="BF522" s="3"/>
      <c r="BG522" s="3"/>
      <c r="BH522" s="3"/>
      <c r="BI522" s="3"/>
      <c r="BJ522" s="3"/>
      <c r="BK522" s="3"/>
      <c r="BL522" s="3"/>
      <c r="BM522" s="3"/>
      <c r="BN522" s="3" t="s">
        <v>2059</v>
      </c>
    </row>
    <row r="523" spans="2:66" ht="12.9" customHeight="1">
      <c r="B523" s="1703"/>
      <c r="C523" s="1514"/>
      <c r="D523" s="1514"/>
      <c r="E523" s="1514"/>
      <c r="F523" s="1514"/>
      <c r="G523" s="1514"/>
      <c r="H523" s="1515"/>
      <c r="I523" t="s">
        <v>416</v>
      </c>
      <c r="AC523" s="1524">
        <v>5</v>
      </c>
      <c r="AD523" s="1525"/>
      <c r="AE523" s="1525"/>
      <c r="AF523" s="1525"/>
      <c r="AG523" s="13" t="s">
        <v>403</v>
      </c>
      <c r="AH523" s="1381">
        <v>2026</v>
      </c>
      <c r="AI523" s="1381"/>
      <c r="AJ523" s="1381"/>
      <c r="AK523" s="1382"/>
      <c r="AZ523" s="3"/>
      <c r="BA523" s="3"/>
      <c r="BB523" s="3"/>
      <c r="BC523" s="3"/>
      <c r="BD523" s="3"/>
      <c r="BE523" s="3"/>
      <c r="BF523" s="3"/>
      <c r="BG523" s="3"/>
      <c r="BH523" s="3"/>
      <c r="BI523" s="3"/>
      <c r="BJ523" s="3"/>
      <c r="BK523" s="3"/>
      <c r="BL523" s="3"/>
      <c r="BM523" s="3"/>
      <c r="BN523" s="3" t="s">
        <v>2060</v>
      </c>
    </row>
    <row r="524" spans="2:66" ht="12.9" customHeight="1">
      <c r="B524" s="1703"/>
      <c r="C524" s="1514"/>
      <c r="D524" s="1514"/>
      <c r="E524" s="1514"/>
      <c r="F524" s="1514"/>
      <c r="G524" s="1514"/>
      <c r="H524" s="1515"/>
      <c r="I524" s="48" t="s">
        <v>417</v>
      </c>
      <c r="J524" s="48"/>
      <c r="K524" s="48"/>
      <c r="L524" s="48"/>
      <c r="M524" s="48"/>
      <c r="N524" s="48"/>
      <c r="O524" s="48"/>
      <c r="P524" s="48"/>
      <c r="Q524" s="48"/>
      <c r="R524" s="48"/>
      <c r="S524" s="48"/>
      <c r="T524" s="48"/>
      <c r="U524" s="48"/>
      <c r="V524" s="48"/>
      <c r="W524" s="48"/>
      <c r="X524" s="48"/>
      <c r="Y524" s="48"/>
      <c r="Z524" s="48"/>
      <c r="AA524" s="48"/>
      <c r="AB524" s="48"/>
      <c r="AC524" s="1524">
        <v>2</v>
      </c>
      <c r="AD524" s="1525"/>
      <c r="AE524" s="1525"/>
      <c r="AF524" s="1525"/>
      <c r="AG524" s="38" t="s">
        <v>403</v>
      </c>
      <c r="AH524" s="1381">
        <v>2027</v>
      </c>
      <c r="AI524" s="1381"/>
      <c r="AJ524" s="1381"/>
      <c r="AK524" s="1382"/>
      <c r="AZ524" s="3"/>
      <c r="BA524" s="3"/>
      <c r="BB524" s="3"/>
      <c r="BC524" s="3"/>
      <c r="BD524" s="3"/>
      <c r="BE524" s="3"/>
      <c r="BF524" s="3"/>
      <c r="BG524" s="3"/>
      <c r="BH524" s="3"/>
      <c r="BI524" s="3"/>
      <c r="BJ524" s="3"/>
      <c r="BK524" s="3"/>
      <c r="BL524" s="3"/>
      <c r="BM524" s="3"/>
      <c r="BN524" s="3" t="s">
        <v>2061</v>
      </c>
    </row>
    <row r="525" spans="2:66" ht="12.9" customHeight="1">
      <c r="B525" s="1702" t="s">
        <v>418</v>
      </c>
      <c r="C525" s="1512"/>
      <c r="D525" s="1512"/>
      <c r="E525" s="1512"/>
      <c r="F525" s="1512"/>
      <c r="G525" s="1512"/>
      <c r="H525" s="1513"/>
      <c r="I525" s="42" t="s">
        <v>415</v>
      </c>
      <c r="J525" s="42"/>
      <c r="K525" s="42"/>
      <c r="L525" s="42"/>
      <c r="M525" s="42"/>
      <c r="N525" s="42"/>
      <c r="O525" s="42"/>
      <c r="P525" s="42"/>
      <c r="Q525" s="42"/>
      <c r="R525" s="42"/>
      <c r="S525" s="42"/>
      <c r="T525" s="42"/>
      <c r="U525" s="42"/>
      <c r="V525" s="42"/>
      <c r="W525" s="42"/>
      <c r="X525" s="42"/>
      <c r="Y525" s="42"/>
      <c r="Z525" s="42"/>
      <c r="AA525" s="42"/>
      <c r="AB525" s="42"/>
      <c r="AC525" s="1368">
        <v>5</v>
      </c>
      <c r="AD525" s="1369"/>
      <c r="AE525" s="1369"/>
      <c r="AF525" s="1369"/>
      <c r="AG525" s="129" t="s">
        <v>403</v>
      </c>
      <c r="AH525" s="1381">
        <v>2026</v>
      </c>
      <c r="AI525" s="1381"/>
      <c r="AJ525" s="1381"/>
      <c r="AK525" s="1382"/>
      <c r="AZ525" s="3"/>
      <c r="BB525" s="3"/>
      <c r="BC525" s="3"/>
      <c r="BD525" s="3"/>
      <c r="BE525" s="3"/>
      <c r="BF525" s="3"/>
      <c r="BG525" s="3"/>
      <c r="BH525" s="3"/>
      <c r="BI525" s="3"/>
      <c r="BJ525" s="3"/>
      <c r="BK525" s="3"/>
      <c r="BL525" s="3"/>
      <c r="BM525" s="3"/>
      <c r="BN525" s="3" t="s">
        <v>2062</v>
      </c>
    </row>
    <row r="526" spans="2:66" ht="12.9" customHeight="1">
      <c r="B526" s="1703"/>
      <c r="C526" s="1514"/>
      <c r="D526" s="1514"/>
      <c r="E526" s="1514"/>
      <c r="F526" s="1514"/>
      <c r="G526" s="1514"/>
      <c r="H526" s="1515"/>
      <c r="I526" t="s">
        <v>416</v>
      </c>
      <c r="AC526" s="1524">
        <v>5</v>
      </c>
      <c r="AD526" s="1525"/>
      <c r="AE526" s="1525"/>
      <c r="AF526" s="1525"/>
      <c r="AG526" s="13" t="s">
        <v>403</v>
      </c>
      <c r="AH526" s="1381">
        <v>2026</v>
      </c>
      <c r="AI526" s="1381"/>
      <c r="AJ526" s="1381"/>
      <c r="AK526" s="1382"/>
      <c r="BB526" s="3"/>
      <c r="BC526" s="3"/>
      <c r="BD526" s="3"/>
      <c r="BE526" s="3"/>
      <c r="BF526" s="3"/>
      <c r="BG526" s="3"/>
      <c r="BH526" s="3"/>
      <c r="BI526" s="3"/>
      <c r="BJ526" s="3"/>
      <c r="BK526" s="3"/>
      <c r="BL526" s="3"/>
      <c r="BM526" s="3"/>
      <c r="BN526" s="3" t="s">
        <v>2063</v>
      </c>
    </row>
    <row r="527" spans="2:66" ht="12.9" customHeight="1">
      <c r="B527" s="1704"/>
      <c r="C527" s="1516"/>
      <c r="D527" s="1516"/>
      <c r="E527" s="1516"/>
      <c r="F527" s="1516"/>
      <c r="G527" s="1516"/>
      <c r="H527" s="1517"/>
      <c r="I527" s="48" t="s">
        <v>417</v>
      </c>
      <c r="J527" s="48"/>
      <c r="K527" s="48"/>
      <c r="L527" s="48"/>
      <c r="M527" s="48"/>
      <c r="N527" s="48"/>
      <c r="O527" s="48"/>
      <c r="P527" s="48"/>
      <c r="Q527" s="48"/>
      <c r="R527" s="48"/>
      <c r="S527" s="48"/>
      <c r="T527" s="48"/>
      <c r="U527" s="48"/>
      <c r="V527" s="48"/>
      <c r="W527" s="48"/>
      <c r="X527" s="48"/>
      <c r="Y527" s="48"/>
      <c r="Z527" s="48"/>
      <c r="AA527" s="48"/>
      <c r="AB527" s="48"/>
      <c r="AC527" s="1524">
        <v>2</v>
      </c>
      <c r="AD527" s="1525"/>
      <c r="AE527" s="1525"/>
      <c r="AF527" s="1525"/>
      <c r="AG527" s="38" t="s">
        <v>403</v>
      </c>
      <c r="AH527" s="1381">
        <v>2027</v>
      </c>
      <c r="AI527" s="1381"/>
      <c r="AJ527" s="1381"/>
      <c r="AK527" s="1382"/>
      <c r="BB527" s="3"/>
      <c r="BC527" s="3"/>
      <c r="BD527" s="3"/>
      <c r="BE527" s="3"/>
      <c r="BF527" s="3"/>
      <c r="BG527" s="3"/>
      <c r="BH527" s="3"/>
      <c r="BI527" s="3"/>
      <c r="BJ527" s="3"/>
      <c r="BK527" s="3"/>
      <c r="BL527" s="3"/>
      <c r="BM527" s="3"/>
      <c r="BN527" s="3" t="s">
        <v>2064</v>
      </c>
    </row>
    <row r="528" spans="2:66" ht="12.9" customHeight="1">
      <c r="B528" s="1702" t="s">
        <v>419</v>
      </c>
      <c r="C528" s="1512"/>
      <c r="D528" s="1512"/>
      <c r="E528" s="1512"/>
      <c r="F528" s="1512"/>
      <c r="G528" s="1512"/>
      <c r="H528" s="1513"/>
      <c r="I528" s="41" t="s">
        <v>420</v>
      </c>
      <c r="J528" s="42"/>
      <c r="K528" s="42"/>
      <c r="L528" s="42"/>
      <c r="M528" s="42"/>
      <c r="N528" s="42"/>
      <c r="O528" s="1778" t="s">
        <v>2789</v>
      </c>
      <c r="P528" s="1779"/>
      <c r="Q528" s="1779"/>
      <c r="R528" s="1779"/>
      <c r="S528" s="1779"/>
      <c r="T528" s="1779"/>
      <c r="U528" s="1779"/>
      <c r="V528" s="1779"/>
      <c r="W528" s="1779"/>
      <c r="X528" s="1779"/>
      <c r="Y528" s="1779"/>
      <c r="Z528" s="1779"/>
      <c r="AA528" s="1779"/>
      <c r="AB528" s="58"/>
      <c r="AC528" s="1368"/>
      <c r="AD528" s="1369"/>
      <c r="AE528" s="1369"/>
      <c r="AF528" s="1369"/>
      <c r="AG528" s="129" t="s">
        <v>403</v>
      </c>
      <c r="AH528" s="1381"/>
      <c r="AI528" s="1381"/>
      <c r="AJ528" s="1381"/>
      <c r="AK528" s="1382"/>
      <c r="AZ528" s="3"/>
      <c r="BB528" s="3"/>
      <c r="BC528" s="3"/>
      <c r="BD528" s="3"/>
      <c r="BE528" s="3"/>
      <c r="BF528" s="3"/>
      <c r="BG528" s="3"/>
      <c r="BH528" s="3"/>
      <c r="BI528" s="3"/>
      <c r="BJ528" s="3"/>
      <c r="BK528" s="3"/>
      <c r="BL528" s="3"/>
      <c r="BM528" s="3"/>
      <c r="BN528" s="3" t="s">
        <v>2065</v>
      </c>
    </row>
    <row r="529" spans="2:66" ht="12.9" customHeight="1">
      <c r="B529" s="1703"/>
      <c r="C529" s="1514"/>
      <c r="D529" s="1514"/>
      <c r="E529" s="1514"/>
      <c r="F529" s="1514"/>
      <c r="G529" s="1514"/>
      <c r="H529" s="1515"/>
      <c r="I529" s="114" t="s">
        <v>421</v>
      </c>
      <c r="AB529" s="65"/>
      <c r="AC529" s="1524">
        <v>2</v>
      </c>
      <c r="AD529" s="1525"/>
      <c r="AE529" s="1525"/>
      <c r="AF529" s="1525"/>
      <c r="AG529" s="13" t="s">
        <v>403</v>
      </c>
      <c r="AH529" s="1381">
        <v>2024</v>
      </c>
      <c r="AI529" s="1381"/>
      <c r="AJ529" s="1381"/>
      <c r="AK529" s="1382"/>
      <c r="AZ529" s="3"/>
      <c r="BB529" s="3"/>
      <c r="BC529" s="3"/>
      <c r="BD529" s="3"/>
      <c r="BE529" s="3"/>
      <c r="BF529" s="3"/>
      <c r="BG529" s="3"/>
      <c r="BH529" s="3"/>
      <c r="BI529" s="3"/>
      <c r="BJ529" s="3"/>
      <c r="BK529" s="3"/>
      <c r="BL529" s="3"/>
      <c r="BM529" s="3"/>
      <c r="BN529" s="3" t="s">
        <v>2066</v>
      </c>
    </row>
    <row r="530" spans="2:66" ht="12.9" customHeight="1">
      <c r="B530" s="1703"/>
      <c r="C530" s="1514"/>
      <c r="D530" s="1514"/>
      <c r="E530" s="1514"/>
      <c r="F530" s="1514"/>
      <c r="G530" s="1514"/>
      <c r="H530" s="1515"/>
      <c r="I530" s="47" t="s">
        <v>422</v>
      </c>
      <c r="J530" s="48"/>
      <c r="K530" s="48"/>
      <c r="L530" s="48"/>
      <c r="M530" s="48"/>
      <c r="N530" s="48"/>
      <c r="O530" s="48"/>
      <c r="P530" s="48"/>
      <c r="Q530" s="48"/>
      <c r="R530" s="48"/>
      <c r="S530" s="48"/>
      <c r="T530" s="48"/>
      <c r="U530" s="48"/>
      <c r="V530" s="48"/>
      <c r="W530" s="48"/>
      <c r="X530" s="48"/>
      <c r="Y530" s="48"/>
      <c r="Z530" s="48"/>
      <c r="AA530" s="48"/>
      <c r="AB530" s="49"/>
      <c r="AC530" s="1524">
        <v>6</v>
      </c>
      <c r="AD530" s="1525"/>
      <c r="AE530" s="1525"/>
      <c r="AF530" s="1525"/>
      <c r="AG530" s="38" t="s">
        <v>403</v>
      </c>
      <c r="AH530" s="1381">
        <v>2024</v>
      </c>
      <c r="AI530" s="1381"/>
      <c r="AJ530" s="1381"/>
      <c r="AK530" s="1382"/>
      <c r="AZ530" s="3"/>
      <c r="BA530" s="3"/>
      <c r="BB530" s="3"/>
      <c r="BC530" s="3"/>
      <c r="BD530" s="3"/>
      <c r="BE530" s="3"/>
      <c r="BF530" s="3"/>
      <c r="BG530" s="3"/>
      <c r="BH530" s="3"/>
      <c r="BI530" s="3"/>
      <c r="BJ530" s="3"/>
      <c r="BK530" s="3"/>
      <c r="BL530" s="3"/>
      <c r="BM530" s="3"/>
      <c r="BN530" s="3" t="s">
        <v>2067</v>
      </c>
    </row>
    <row r="531" spans="2:66" ht="12.9" customHeight="1">
      <c r="B531" s="1703"/>
      <c r="C531" s="1514"/>
      <c r="D531" s="1514"/>
      <c r="E531" s="1514"/>
      <c r="F531" s="1514"/>
      <c r="G531" s="1514"/>
      <c r="H531" s="1515"/>
      <c r="I531" s="42" t="s">
        <v>423</v>
      </c>
      <c r="J531" s="42"/>
      <c r="K531" s="42"/>
      <c r="L531" s="42"/>
      <c r="M531" s="42"/>
      <c r="N531" s="42"/>
      <c r="O531" s="1778" t="s">
        <v>2788</v>
      </c>
      <c r="P531" s="1779"/>
      <c r="Q531" s="1779"/>
      <c r="R531" s="1779"/>
      <c r="S531" s="1779"/>
      <c r="T531" s="1779"/>
      <c r="U531" s="1779"/>
      <c r="V531" s="1779"/>
      <c r="W531" s="1779"/>
      <c r="X531" s="1779"/>
      <c r="Y531" s="1779"/>
      <c r="Z531" s="1779"/>
      <c r="AA531" s="1779"/>
      <c r="AC531" s="1524"/>
      <c r="AD531" s="1525"/>
      <c r="AE531" s="1525"/>
      <c r="AF531" s="1525"/>
      <c r="AG531" s="13" t="s">
        <v>403</v>
      </c>
      <c r="AH531" s="1381"/>
      <c r="AI531" s="1381"/>
      <c r="AJ531" s="1381"/>
      <c r="AK531" s="1382"/>
      <c r="AZ531" s="3"/>
      <c r="BA531" s="3"/>
      <c r="BB531" s="3"/>
      <c r="BC531" s="3"/>
      <c r="BD531" s="3"/>
      <c r="BE531" s="3"/>
      <c r="BF531" s="3"/>
      <c r="BG531" s="3"/>
      <c r="BH531" s="3"/>
      <c r="BI531" s="3"/>
      <c r="BJ531" s="3"/>
      <c r="BK531" s="3"/>
      <c r="BL531" s="3"/>
      <c r="BM531" s="3"/>
      <c r="BN531" s="3" t="s">
        <v>2068</v>
      </c>
    </row>
    <row r="532" spans="2:66" ht="12.9" customHeight="1">
      <c r="B532" s="1703"/>
      <c r="C532" s="1514"/>
      <c r="D532" s="1514"/>
      <c r="E532" s="1514"/>
      <c r="F532" s="1514"/>
      <c r="G532" s="1514"/>
      <c r="H532" s="1515"/>
      <c r="I532" t="s">
        <v>421</v>
      </c>
      <c r="AC532" s="1524">
        <v>3</v>
      </c>
      <c r="AD532" s="1525"/>
      <c r="AE532" s="1525"/>
      <c r="AF532" s="1525"/>
      <c r="AG532" s="13" t="s">
        <v>403</v>
      </c>
      <c r="AH532" s="1381">
        <v>2025</v>
      </c>
      <c r="AI532" s="1381"/>
      <c r="AJ532" s="1381"/>
      <c r="AK532" s="1382"/>
      <c r="AZ532" s="3"/>
      <c r="BA532" s="3"/>
      <c r="BB532" s="3"/>
      <c r="BC532" s="3"/>
      <c r="BD532" s="3"/>
      <c r="BE532" s="3"/>
      <c r="BF532" s="3"/>
      <c r="BG532" s="3"/>
      <c r="BH532" s="3"/>
      <c r="BI532" s="3"/>
      <c r="BJ532" s="3"/>
      <c r="BK532" s="3"/>
      <c r="BL532" s="3"/>
      <c r="BM532" s="3"/>
      <c r="BN532" s="3" t="s">
        <v>2069</v>
      </c>
    </row>
    <row r="533" spans="2:66" ht="12.9" customHeight="1">
      <c r="B533" s="1703"/>
      <c r="C533" s="1514"/>
      <c r="D533" s="1514"/>
      <c r="E533" s="1514"/>
      <c r="F533" s="1514"/>
      <c r="G533" s="1514"/>
      <c r="H533" s="1515"/>
      <c r="I533" s="48" t="s">
        <v>422</v>
      </c>
      <c r="J533" s="48"/>
      <c r="K533" s="48"/>
      <c r="L533" s="48"/>
      <c r="M533" s="48"/>
      <c r="N533" s="48"/>
      <c r="O533" s="48"/>
      <c r="P533" s="48"/>
      <c r="Q533" s="48"/>
      <c r="R533" s="48"/>
      <c r="S533" s="48"/>
      <c r="T533" s="48"/>
      <c r="U533" s="48"/>
      <c r="V533" s="48"/>
      <c r="W533" s="48"/>
      <c r="X533" s="48"/>
      <c r="Y533" s="48"/>
      <c r="Z533" s="48"/>
      <c r="AA533" s="48"/>
      <c r="AB533" s="48"/>
      <c r="AC533" s="1524">
        <v>8</v>
      </c>
      <c r="AD533" s="1525"/>
      <c r="AE533" s="1525"/>
      <c r="AF533" s="1525"/>
      <c r="AG533" s="38" t="s">
        <v>403</v>
      </c>
      <c r="AH533" s="1381">
        <v>2025</v>
      </c>
      <c r="AI533" s="1381"/>
      <c r="AJ533" s="1381"/>
      <c r="AK533" s="1382"/>
      <c r="AZ533" s="3"/>
      <c r="BA533" s="3"/>
      <c r="BB533" s="3"/>
      <c r="BC533" s="3"/>
      <c r="BD533" s="3"/>
      <c r="BE533" s="3"/>
      <c r="BF533" s="3"/>
      <c r="BG533" s="3"/>
      <c r="BH533" s="3"/>
      <c r="BI533" s="3"/>
      <c r="BJ533" s="3"/>
      <c r="BK533" s="3"/>
      <c r="BL533" s="3"/>
      <c r="BM533" s="3"/>
      <c r="BN533" s="3" t="s">
        <v>2070</v>
      </c>
    </row>
    <row r="534" spans="2:66" ht="12.9" customHeight="1">
      <c r="B534" s="1703"/>
      <c r="C534" s="1514"/>
      <c r="D534" s="1514"/>
      <c r="E534" s="1514"/>
      <c r="F534" s="1514"/>
      <c r="G534" s="1514"/>
      <c r="H534" s="1515"/>
      <c r="I534" s="42" t="s">
        <v>423</v>
      </c>
      <c r="J534" s="42"/>
      <c r="K534" s="42"/>
      <c r="L534" s="42"/>
      <c r="M534" s="42"/>
      <c r="N534" s="42"/>
      <c r="O534" s="1778" t="s">
        <v>2790</v>
      </c>
      <c r="P534" s="1779"/>
      <c r="Q534" s="1779"/>
      <c r="R534" s="1779"/>
      <c r="S534" s="1779"/>
      <c r="T534" s="1779"/>
      <c r="U534" s="1779"/>
      <c r="V534" s="1779"/>
      <c r="W534" s="1779"/>
      <c r="X534" s="1779"/>
      <c r="Y534" s="1779"/>
      <c r="Z534" s="1779"/>
      <c r="AA534" s="1779"/>
      <c r="AC534" s="1524"/>
      <c r="AD534" s="1525"/>
      <c r="AE534" s="1525"/>
      <c r="AF534" s="1525"/>
      <c r="AG534" s="13" t="s">
        <v>403</v>
      </c>
      <c r="AH534" s="1381"/>
      <c r="AI534" s="1381"/>
      <c r="AJ534" s="1381"/>
      <c r="AK534" s="1382"/>
      <c r="AZ534" s="3"/>
      <c r="BA534" s="3"/>
      <c r="BB534" s="3"/>
      <c r="BC534" s="3"/>
      <c r="BD534" s="3"/>
      <c r="BE534" s="3"/>
      <c r="BF534" s="3"/>
      <c r="BG534" s="3"/>
      <c r="BH534" s="3"/>
      <c r="BI534" s="3"/>
      <c r="BJ534" s="3"/>
      <c r="BK534" s="3"/>
      <c r="BL534" s="3"/>
      <c r="BM534" s="3"/>
      <c r="BN534" s="3" t="s">
        <v>2071</v>
      </c>
    </row>
    <row r="535" spans="2:66" ht="12.9" customHeight="1">
      <c r="B535" s="1703"/>
      <c r="C535" s="1514"/>
      <c r="D535" s="1514"/>
      <c r="E535" s="1514"/>
      <c r="F535" s="1514"/>
      <c r="G535" s="1514"/>
      <c r="H535" s="1515"/>
      <c r="I535" t="s">
        <v>421</v>
      </c>
      <c r="AC535" s="1524">
        <v>5</v>
      </c>
      <c r="AD535" s="1525"/>
      <c r="AE535" s="1525"/>
      <c r="AF535" s="1525"/>
      <c r="AG535" s="13" t="s">
        <v>403</v>
      </c>
      <c r="AH535" s="1381">
        <v>2026</v>
      </c>
      <c r="AI535" s="1381"/>
      <c r="AJ535" s="1381"/>
      <c r="AK535" s="1382"/>
      <c r="AZ535" s="3"/>
      <c r="BA535" s="3"/>
      <c r="BB535" s="3"/>
      <c r="BC535" s="3"/>
      <c r="BD535" s="3"/>
      <c r="BE535" s="3"/>
      <c r="BF535" s="3"/>
      <c r="BG535" s="3"/>
      <c r="BH535" s="3"/>
      <c r="BI535" s="3"/>
      <c r="BJ535" s="3"/>
      <c r="BK535" s="3"/>
      <c r="BL535" s="3"/>
      <c r="BM535" s="3"/>
      <c r="BN535" s="3" t="s">
        <v>2072</v>
      </c>
    </row>
    <row r="536" spans="2:66" ht="12.9" customHeight="1">
      <c r="B536" s="1703"/>
      <c r="C536" s="1514"/>
      <c r="D536" s="1514"/>
      <c r="E536" s="1514"/>
      <c r="F536" s="1514"/>
      <c r="G536" s="1514"/>
      <c r="H536" s="1515"/>
      <c r="I536" s="48" t="s">
        <v>422</v>
      </c>
      <c r="J536" s="48"/>
      <c r="K536" s="48"/>
      <c r="L536" s="48"/>
      <c r="M536" s="48"/>
      <c r="N536" s="48"/>
      <c r="O536" s="48"/>
      <c r="P536" s="48"/>
      <c r="Q536" s="48"/>
      <c r="R536" s="48"/>
      <c r="S536" s="48"/>
      <c r="T536" s="48"/>
      <c r="U536" s="48"/>
      <c r="V536" s="48"/>
      <c r="W536" s="48"/>
      <c r="X536" s="48"/>
      <c r="Y536" s="48"/>
      <c r="Z536" s="48"/>
      <c r="AA536" s="48"/>
      <c r="AB536" s="48"/>
      <c r="AC536" s="1524">
        <v>8</v>
      </c>
      <c r="AD536" s="1525"/>
      <c r="AE536" s="1525"/>
      <c r="AF536" s="1525"/>
      <c r="AG536" s="38" t="s">
        <v>403</v>
      </c>
      <c r="AH536" s="1381">
        <v>2026</v>
      </c>
      <c r="AI536" s="1381"/>
      <c r="AJ536" s="1381"/>
      <c r="AK536" s="1382"/>
      <c r="AZ536" s="3"/>
      <c r="BA536" s="3"/>
      <c r="BB536" s="3"/>
      <c r="BC536" s="3"/>
      <c r="BD536" s="3"/>
      <c r="BE536" s="3"/>
      <c r="BF536" s="3"/>
      <c r="BG536" s="3"/>
      <c r="BH536" s="3"/>
      <c r="BI536" s="3"/>
      <c r="BJ536" s="3"/>
      <c r="BK536" s="3"/>
      <c r="BL536" s="3"/>
      <c r="BM536" s="3"/>
      <c r="BN536" s="3" t="s">
        <v>2073</v>
      </c>
    </row>
    <row r="537" spans="2:66" ht="12.9" customHeight="1">
      <c r="B537" s="1703"/>
      <c r="C537" s="1514"/>
      <c r="D537" s="1514"/>
      <c r="E537" s="1514"/>
      <c r="F537" s="1514"/>
      <c r="G537" s="1514"/>
      <c r="H537" s="1515"/>
      <c r="I537" s="42" t="s">
        <v>423</v>
      </c>
      <c r="J537" s="42"/>
      <c r="K537" s="42"/>
      <c r="L537" s="42"/>
      <c r="M537" s="42"/>
      <c r="N537" s="42"/>
      <c r="O537" s="1778" t="s">
        <v>334</v>
      </c>
      <c r="P537" s="1779"/>
      <c r="Q537" s="1779"/>
      <c r="R537" s="1779"/>
      <c r="S537" s="1779"/>
      <c r="T537" s="1779"/>
      <c r="U537" s="1779"/>
      <c r="V537" s="1779"/>
      <c r="W537" s="1779"/>
      <c r="X537" s="1779"/>
      <c r="Y537" s="1779"/>
      <c r="Z537" s="1779"/>
      <c r="AA537" s="1779"/>
      <c r="AC537" s="1524" t="s">
        <v>591</v>
      </c>
      <c r="AD537" s="1525"/>
      <c r="AE537" s="1525"/>
      <c r="AF537" s="1525"/>
      <c r="AG537" s="13" t="s">
        <v>403</v>
      </c>
      <c r="AH537" s="1786"/>
      <c r="AI537" s="1381"/>
      <c r="AJ537" s="1381"/>
      <c r="AK537" s="1382"/>
      <c r="AZ537" s="3"/>
      <c r="BA537" s="3"/>
      <c r="BB537" s="3"/>
      <c r="BC537" s="3"/>
      <c r="BD537" s="3"/>
      <c r="BE537" s="3"/>
      <c r="BF537" s="3"/>
      <c r="BG537" s="3"/>
      <c r="BH537" s="3"/>
      <c r="BI537" s="3"/>
      <c r="BJ537" s="3"/>
      <c r="BK537" s="3"/>
      <c r="BL537" s="3"/>
      <c r="BM537" s="3"/>
      <c r="BN537" s="3" t="s">
        <v>2074</v>
      </c>
    </row>
    <row r="538" spans="2:66" ht="12.9" customHeight="1">
      <c r="B538" s="1703"/>
      <c r="C538" s="1514"/>
      <c r="D538" s="1514"/>
      <c r="E538" s="1514"/>
      <c r="F538" s="1514"/>
      <c r="G538" s="1514"/>
      <c r="H538" s="1515"/>
      <c r="I538" t="s">
        <v>421</v>
      </c>
      <c r="AC538" s="1524" t="s">
        <v>591</v>
      </c>
      <c r="AD538" s="1525"/>
      <c r="AE538" s="1525"/>
      <c r="AF538" s="1525"/>
      <c r="AG538" s="13" t="s">
        <v>403</v>
      </c>
      <c r="AH538" s="1381"/>
      <c r="AI538" s="1381"/>
      <c r="AJ538" s="1381"/>
      <c r="AK538" s="1382"/>
      <c r="AZ538" s="3"/>
      <c r="BA538" s="3"/>
      <c r="BB538" s="3"/>
      <c r="BC538" s="3"/>
      <c r="BD538" s="3"/>
      <c r="BE538" s="3"/>
      <c r="BF538" s="3"/>
      <c r="BG538" s="3"/>
      <c r="BH538" s="3"/>
      <c r="BI538" s="3"/>
      <c r="BJ538" s="3"/>
      <c r="BK538" s="3"/>
      <c r="BL538" s="3"/>
      <c r="BM538" s="3"/>
      <c r="BN538" s="3" t="s">
        <v>2075</v>
      </c>
    </row>
    <row r="539" spans="2:66" ht="12.9" customHeight="1">
      <c r="B539" s="1703"/>
      <c r="C539" s="1514"/>
      <c r="D539" s="1514"/>
      <c r="E539" s="1514"/>
      <c r="F539" s="1514"/>
      <c r="G539" s="1514"/>
      <c r="H539" s="1515"/>
      <c r="I539" s="48" t="s">
        <v>422</v>
      </c>
      <c r="J539" s="48"/>
      <c r="K539" s="48"/>
      <c r="L539" s="48"/>
      <c r="M539" s="48"/>
      <c r="N539" s="48"/>
      <c r="O539" s="48"/>
      <c r="P539" s="48"/>
      <c r="Q539" s="48"/>
      <c r="R539" s="48"/>
      <c r="S539" s="48"/>
      <c r="T539" s="48"/>
      <c r="U539" s="48"/>
      <c r="V539" s="48"/>
      <c r="W539" s="48"/>
      <c r="X539" s="48"/>
      <c r="Y539" s="48"/>
      <c r="Z539" s="48"/>
      <c r="AA539" s="48"/>
      <c r="AB539" s="48"/>
      <c r="AC539" s="1524" t="s">
        <v>591</v>
      </c>
      <c r="AD539" s="1525"/>
      <c r="AE539" s="1525"/>
      <c r="AF539" s="1525"/>
      <c r="AG539" s="38" t="s">
        <v>403</v>
      </c>
      <c r="AH539" s="1381"/>
      <c r="AI539" s="1381"/>
      <c r="AJ539" s="1381"/>
      <c r="AK539" s="1382"/>
      <c r="AZ539" s="3"/>
      <c r="BA539" s="3"/>
      <c r="BB539" s="3"/>
      <c r="BC539" s="3"/>
      <c r="BD539" s="3"/>
      <c r="BE539" s="3"/>
      <c r="BF539" s="3"/>
      <c r="BG539" s="3"/>
      <c r="BH539" s="3"/>
      <c r="BI539" s="3"/>
      <c r="BJ539" s="3"/>
      <c r="BK539" s="3"/>
      <c r="BL539" s="3"/>
      <c r="BM539" s="3"/>
      <c r="BN539" s="3" t="s">
        <v>2076</v>
      </c>
    </row>
    <row r="540" spans="2:66" ht="12.9" customHeight="1">
      <c r="B540" s="1703"/>
      <c r="C540" s="1514"/>
      <c r="D540" s="1514"/>
      <c r="E540" s="1514"/>
      <c r="F540" s="1514"/>
      <c r="G540" s="1514"/>
      <c r="H540" s="1515"/>
      <c r="I540" s="42" t="s">
        <v>423</v>
      </c>
      <c r="J540" s="42"/>
      <c r="K540" s="42"/>
      <c r="L540" s="42"/>
      <c r="M540" s="42"/>
      <c r="N540" s="42"/>
      <c r="O540" s="1778" t="s">
        <v>334</v>
      </c>
      <c r="P540" s="1779"/>
      <c r="Q540" s="1779"/>
      <c r="R540" s="1779"/>
      <c r="S540" s="1779"/>
      <c r="T540" s="1779"/>
      <c r="U540" s="1779"/>
      <c r="V540" s="1779"/>
      <c r="W540" s="1779"/>
      <c r="X540" s="1779"/>
      <c r="Y540" s="1779"/>
      <c r="Z540" s="1779"/>
      <c r="AA540" s="1779"/>
      <c r="AC540" s="1524" t="s">
        <v>591</v>
      </c>
      <c r="AD540" s="1525"/>
      <c r="AE540" s="1525"/>
      <c r="AF540" s="1525"/>
      <c r="AG540" s="13" t="s">
        <v>403</v>
      </c>
      <c r="AH540" s="1381"/>
      <c r="AI540" s="1381"/>
      <c r="AJ540" s="1381"/>
      <c r="AK540" s="1382"/>
      <c r="AZ540" s="3"/>
      <c r="BA540" s="3"/>
      <c r="BB540" s="3"/>
      <c r="BC540" s="3"/>
      <c r="BD540" s="3"/>
      <c r="BE540" s="3"/>
      <c r="BF540" s="3"/>
      <c r="BG540" s="3"/>
      <c r="BH540" s="3"/>
      <c r="BI540" s="3"/>
      <c r="BJ540" s="3"/>
      <c r="BK540" s="3"/>
      <c r="BL540" s="3"/>
      <c r="BM540" s="3"/>
      <c r="BN540" s="3" t="s">
        <v>2077</v>
      </c>
    </row>
    <row r="541" spans="2:66" ht="12.9" customHeight="1">
      <c r="B541" s="1703"/>
      <c r="C541" s="1514"/>
      <c r="D541" s="1514"/>
      <c r="E541" s="1514"/>
      <c r="F541" s="1514"/>
      <c r="G541" s="1514"/>
      <c r="H541" s="1515"/>
      <c r="I541" t="s">
        <v>421</v>
      </c>
      <c r="AC541" s="1524" t="s">
        <v>591</v>
      </c>
      <c r="AD541" s="1525"/>
      <c r="AE541" s="1525"/>
      <c r="AF541" s="1525"/>
      <c r="AG541" s="38" t="s">
        <v>403</v>
      </c>
      <c r="AH541" s="1381"/>
      <c r="AI541" s="1381"/>
      <c r="AJ541" s="1381"/>
      <c r="AK541" s="1382"/>
      <c r="AZ541" s="3"/>
      <c r="BA541" s="3"/>
      <c r="BB541" s="3"/>
      <c r="BC541" s="3"/>
      <c r="BD541" s="3"/>
      <c r="BE541" s="3"/>
      <c r="BF541" s="3"/>
      <c r="BG541" s="3"/>
      <c r="BH541" s="3"/>
      <c r="BI541" s="3"/>
      <c r="BJ541" s="3"/>
      <c r="BK541" s="3"/>
      <c r="BL541" s="3"/>
      <c r="BM541" s="3"/>
      <c r="BN541" s="3" t="s">
        <v>2078</v>
      </c>
    </row>
    <row r="542" spans="2:66" ht="12.9" customHeight="1">
      <c r="B542" s="1703"/>
      <c r="C542" s="1514"/>
      <c r="D542" s="1514"/>
      <c r="E542" s="1514"/>
      <c r="F542" s="1514"/>
      <c r="G542" s="1514"/>
      <c r="H542" s="1515"/>
      <c r="I542" s="48" t="s">
        <v>422</v>
      </c>
      <c r="J542" s="48"/>
      <c r="K542" s="48"/>
      <c r="L542" s="48"/>
      <c r="M542" s="48"/>
      <c r="N542" s="48"/>
      <c r="O542" s="48"/>
      <c r="P542" s="48"/>
      <c r="Q542" s="48"/>
      <c r="R542" s="48"/>
      <c r="S542" s="48"/>
      <c r="T542" s="48"/>
      <c r="U542" s="48"/>
      <c r="V542" s="48"/>
      <c r="W542" s="48"/>
      <c r="X542" s="48"/>
      <c r="Y542" s="48"/>
      <c r="Z542" s="48"/>
      <c r="AA542" s="48"/>
      <c r="AB542" s="48"/>
      <c r="AC542" s="1524" t="s">
        <v>591</v>
      </c>
      <c r="AD542" s="1525"/>
      <c r="AE542" s="1525"/>
      <c r="AF542" s="1525"/>
      <c r="AG542" s="13" t="s">
        <v>403</v>
      </c>
      <c r="AH542" s="1381"/>
      <c r="AI542" s="1381"/>
      <c r="AJ542" s="1381"/>
      <c r="AK542" s="1382"/>
      <c r="AZ542" s="3"/>
      <c r="BA542" s="3"/>
      <c r="BB542" s="3"/>
      <c r="BC542" s="3"/>
      <c r="BD542" s="3"/>
      <c r="BE542" s="3"/>
      <c r="BF542" s="3"/>
      <c r="BG542" s="3"/>
      <c r="BH542" s="3"/>
      <c r="BI542" s="3"/>
      <c r="BJ542" s="3"/>
      <c r="BK542" s="3"/>
      <c r="BL542" s="3"/>
      <c r="BM542" s="3"/>
      <c r="BN542" s="3" t="s">
        <v>2079</v>
      </c>
    </row>
    <row r="543" spans="2:66" ht="12.9" customHeight="1">
      <c r="B543" s="1703"/>
      <c r="C543" s="1514"/>
      <c r="D543" s="1514"/>
      <c r="E543" s="1514"/>
      <c r="F543" s="1514"/>
      <c r="G543" s="1514"/>
      <c r="H543" s="1515"/>
      <c r="I543" s="42" t="s">
        <v>423</v>
      </c>
      <c r="J543" s="42"/>
      <c r="K543" s="42"/>
      <c r="L543" s="42"/>
      <c r="M543" s="42"/>
      <c r="N543" s="42"/>
      <c r="O543" s="1778" t="s">
        <v>334</v>
      </c>
      <c r="P543" s="1779"/>
      <c r="Q543" s="1779"/>
      <c r="R543" s="1779"/>
      <c r="S543" s="1779"/>
      <c r="T543" s="1779"/>
      <c r="U543" s="1779"/>
      <c r="V543" s="1779"/>
      <c r="W543" s="1779"/>
      <c r="X543" s="1779"/>
      <c r="Y543" s="1779"/>
      <c r="Z543" s="1779"/>
      <c r="AA543" s="1779"/>
      <c r="AC543" s="1524" t="s">
        <v>591</v>
      </c>
      <c r="AD543" s="1525"/>
      <c r="AE543" s="1525"/>
      <c r="AF543" s="1525"/>
      <c r="AG543" s="38" t="s">
        <v>403</v>
      </c>
      <c r="AH543" s="1381"/>
      <c r="AI543" s="1381"/>
      <c r="AJ543" s="1381"/>
      <c r="AK543" s="1382"/>
      <c r="AZ543" s="3"/>
      <c r="BA543" s="3"/>
      <c r="BB543" s="3"/>
      <c r="BC543" s="3"/>
      <c r="BD543" s="3"/>
      <c r="BE543" s="3"/>
      <c r="BF543" s="3"/>
      <c r="BG543" s="3"/>
      <c r="BH543" s="3"/>
      <c r="BI543" s="3"/>
      <c r="BJ543" s="3"/>
      <c r="BK543" s="3"/>
      <c r="BL543" s="3"/>
      <c r="BM543" s="3"/>
      <c r="BN543" s="3" t="s">
        <v>2080</v>
      </c>
    </row>
    <row r="544" spans="2:66" ht="12.9" customHeight="1">
      <c r="B544" s="1703"/>
      <c r="C544" s="1514"/>
      <c r="D544" s="1514"/>
      <c r="E544" s="1514"/>
      <c r="F544" s="1514"/>
      <c r="G544" s="1514"/>
      <c r="H544" s="1515"/>
      <c r="I544" t="s">
        <v>421</v>
      </c>
      <c r="AC544" s="1524" t="s">
        <v>591</v>
      </c>
      <c r="AD544" s="1525"/>
      <c r="AE544" s="1525"/>
      <c r="AF544" s="1525"/>
      <c r="AG544" s="13" t="s">
        <v>403</v>
      </c>
      <c r="AH544" s="1381"/>
      <c r="AI544" s="1381"/>
      <c r="AJ544" s="1381"/>
      <c r="AK544" s="1382"/>
      <c r="AZ544" s="3"/>
      <c r="BA544" s="3"/>
      <c r="BB544" s="3"/>
      <c r="BC544" s="3"/>
      <c r="BD544" s="3"/>
      <c r="BE544" s="3"/>
      <c r="BF544" s="3"/>
      <c r="BG544" s="3"/>
      <c r="BH544" s="3"/>
      <c r="BI544" s="3"/>
      <c r="BJ544" s="3"/>
      <c r="BK544" s="3"/>
      <c r="BL544" s="3"/>
      <c r="BM544" s="3"/>
      <c r="BN544" s="3" t="s">
        <v>2081</v>
      </c>
    </row>
    <row r="545" spans="1:66" ht="12.9" customHeight="1">
      <c r="B545" s="1703"/>
      <c r="C545" s="1514"/>
      <c r="D545" s="1514"/>
      <c r="E545" s="1514"/>
      <c r="F545" s="1514"/>
      <c r="G545" s="1514"/>
      <c r="H545" s="1515"/>
      <c r="I545" s="48" t="s">
        <v>422</v>
      </c>
      <c r="J545" s="48"/>
      <c r="K545" s="48"/>
      <c r="L545" s="48"/>
      <c r="M545" s="48"/>
      <c r="N545" s="48"/>
      <c r="O545" s="48"/>
      <c r="P545" s="48"/>
      <c r="Q545" s="48"/>
      <c r="R545" s="48"/>
      <c r="S545" s="48"/>
      <c r="T545" s="48"/>
      <c r="U545" s="48"/>
      <c r="V545" s="48"/>
      <c r="W545" s="48"/>
      <c r="X545" s="48"/>
      <c r="Y545" s="48"/>
      <c r="Z545" s="48"/>
      <c r="AA545" s="48"/>
      <c r="AB545" s="48"/>
      <c r="AC545" s="1524" t="s">
        <v>591</v>
      </c>
      <c r="AD545" s="1525"/>
      <c r="AE545" s="1525"/>
      <c r="AF545" s="1525"/>
      <c r="AG545" s="38" t="s">
        <v>403</v>
      </c>
      <c r="AH545" s="1381"/>
      <c r="AI545" s="1381"/>
      <c r="AJ545" s="1381"/>
      <c r="AK545" s="1382"/>
      <c r="AZ545" s="3"/>
      <c r="BA545" s="3"/>
      <c r="BB545" s="3"/>
      <c r="BC545" s="3"/>
      <c r="BD545" s="3"/>
      <c r="BE545" s="3"/>
      <c r="BF545" s="3"/>
      <c r="BG545" s="3"/>
      <c r="BH545" s="3"/>
      <c r="BI545" s="3"/>
      <c r="BJ545" s="3"/>
      <c r="BK545" s="3"/>
      <c r="BL545" s="3"/>
      <c r="BM545" s="3"/>
      <c r="BN545" s="3" t="s">
        <v>2082</v>
      </c>
    </row>
    <row r="546" spans="1:66" ht="12.9" customHeight="1">
      <c r="B546" s="1703"/>
      <c r="C546" s="1514"/>
      <c r="D546" s="1514"/>
      <c r="E546" s="1514"/>
      <c r="F546" s="1514"/>
      <c r="G546" s="1514"/>
      <c r="H546" s="1515"/>
      <c r="I546" s="42" t="s">
        <v>562</v>
      </c>
      <c r="J546" s="42"/>
      <c r="K546" s="42"/>
      <c r="L546" s="42"/>
      <c r="M546" s="42"/>
      <c r="N546" s="42"/>
      <c r="O546" s="42"/>
      <c r="P546" s="42"/>
      <c r="Q546" s="42"/>
      <c r="R546" s="42"/>
      <c r="S546" s="42"/>
      <c r="T546" s="42"/>
      <c r="U546" s="42"/>
      <c r="V546" s="42"/>
      <c r="W546" s="42"/>
      <c r="AC546" s="1524">
        <v>3</v>
      </c>
      <c r="AD546" s="1525"/>
      <c r="AE546" s="1525"/>
      <c r="AF546" s="1525"/>
      <c r="AG546" s="38" t="s">
        <v>403</v>
      </c>
      <c r="AH546" s="1381">
        <v>2027</v>
      </c>
      <c r="AI546" s="1381"/>
      <c r="AJ546" s="1381"/>
      <c r="AK546" s="1382"/>
      <c r="AZ546" s="3"/>
      <c r="BA546" s="3"/>
      <c r="BB546" s="3"/>
      <c r="BC546" s="3"/>
      <c r="BD546" s="3"/>
      <c r="BE546" s="3"/>
      <c r="BF546" s="3"/>
      <c r="BG546" s="3"/>
      <c r="BH546" s="3"/>
      <c r="BI546" s="3"/>
      <c r="BJ546" s="3"/>
      <c r="BK546" s="3"/>
      <c r="BL546" s="3"/>
      <c r="BM546" s="3"/>
      <c r="BN546" s="3"/>
    </row>
    <row r="547" spans="1:66" ht="12.9" customHeight="1">
      <c r="B547" s="1703"/>
      <c r="C547" s="1514"/>
      <c r="D547" s="1514"/>
      <c r="E547" s="1514"/>
      <c r="F547" s="1514"/>
      <c r="G547" s="1514"/>
      <c r="H547" s="1515"/>
      <c r="I547" t="s">
        <v>563</v>
      </c>
      <c r="AC547" s="1524">
        <v>2</v>
      </c>
      <c r="AD547" s="1525"/>
      <c r="AE547" s="1525"/>
      <c r="AF547" s="1525"/>
      <c r="AG547" s="13" t="s">
        <v>403</v>
      </c>
      <c r="AH547" s="1381">
        <v>2027</v>
      </c>
      <c r="AI547" s="1381"/>
      <c r="AJ547" s="1381"/>
      <c r="AK547" s="1382"/>
      <c r="AZ547" s="3"/>
      <c r="BA547" s="3"/>
      <c r="BB547" s="3"/>
      <c r="BC547" s="3"/>
      <c r="BD547" s="3"/>
      <c r="BE547" s="3"/>
      <c r="BF547" s="3"/>
      <c r="BG547" s="3"/>
      <c r="BH547" s="3"/>
      <c r="BI547" s="3"/>
      <c r="BJ547" s="3"/>
      <c r="BK547" s="3"/>
      <c r="BL547" s="3"/>
      <c r="BM547" s="3"/>
      <c r="BN547" s="3"/>
    </row>
    <row r="548" spans="1:66" ht="12.9" customHeight="1">
      <c r="B548" s="1703"/>
      <c r="C548" s="1514"/>
      <c r="D548" s="1514"/>
      <c r="E548" s="1514"/>
      <c r="F548" s="1514"/>
      <c r="G548" s="1514"/>
      <c r="H548" s="1515"/>
      <c r="I548" t="s">
        <v>564</v>
      </c>
      <c r="AC548" s="1524">
        <v>2</v>
      </c>
      <c r="AD548" s="1525"/>
      <c r="AE548" s="1525"/>
      <c r="AF548" s="1525"/>
      <c r="AG548" s="38" t="s">
        <v>403</v>
      </c>
      <c r="AH548" s="1381">
        <v>2029</v>
      </c>
      <c r="AI548" s="1381"/>
      <c r="AJ548" s="1381"/>
      <c r="AK548" s="1382"/>
      <c r="AZ548" s="3"/>
      <c r="BA548" s="3"/>
      <c r="BB548" s="3"/>
      <c r="BC548" s="3"/>
      <c r="BD548" s="3"/>
      <c r="BE548" s="3"/>
      <c r="BF548" s="3"/>
      <c r="BG548" s="3"/>
      <c r="BH548" s="3"/>
      <c r="BI548" s="3"/>
      <c r="BJ548" s="3"/>
      <c r="BK548" s="3"/>
      <c r="BL548" s="3"/>
      <c r="BM548" s="3"/>
      <c r="BN548" s="3"/>
    </row>
    <row r="549" spans="1:66" ht="12.9" customHeight="1">
      <c r="B549" s="1703"/>
      <c r="C549" s="1514"/>
      <c r="D549" s="1514"/>
      <c r="E549" s="1514"/>
      <c r="F549" s="1514"/>
      <c r="G549" s="1514"/>
      <c r="H549" s="1515"/>
      <c r="I549" t="s">
        <v>565</v>
      </c>
      <c r="AC549" s="1524">
        <v>2</v>
      </c>
      <c r="AD549" s="1525"/>
      <c r="AE549" s="1525"/>
      <c r="AF549" s="1525"/>
      <c r="AG549" s="38" t="s">
        <v>403</v>
      </c>
      <c r="AH549" s="1381">
        <v>2029</v>
      </c>
      <c r="AI549" s="1381"/>
      <c r="AJ549" s="1381"/>
      <c r="AK549" s="1382"/>
      <c r="AZ549" s="3"/>
      <c r="BA549" s="3"/>
      <c r="BB549" s="3"/>
      <c r="BC549" s="3"/>
      <c r="BD549" s="3"/>
      <c r="BE549" s="3"/>
      <c r="BF549" s="3"/>
      <c r="BG549" s="3"/>
      <c r="BH549" s="3"/>
      <c r="BI549" s="3"/>
      <c r="BJ549" s="3"/>
      <c r="BK549" s="3"/>
      <c r="BL549" s="3"/>
      <c r="BM549" s="3"/>
      <c r="BN549" s="3"/>
    </row>
    <row r="550" spans="1:66" ht="12.9" customHeight="1">
      <c r="B550" s="1704"/>
      <c r="C550" s="1516"/>
      <c r="D550" s="1516"/>
      <c r="E550" s="1516"/>
      <c r="F550" s="1516"/>
      <c r="G550" s="1516"/>
      <c r="H550" s="1517"/>
      <c r="I550" s="48" t="s">
        <v>451</v>
      </c>
      <c r="J550" s="48"/>
      <c r="K550" s="48"/>
      <c r="L550" s="48"/>
      <c r="M550" s="48"/>
      <c r="N550" s="48"/>
      <c r="O550" s="48"/>
      <c r="P550" s="48"/>
      <c r="Q550" s="48"/>
      <c r="R550" s="48"/>
      <c r="S550" s="48"/>
      <c r="T550" s="48"/>
      <c r="U550" s="48"/>
      <c r="V550" s="48"/>
      <c r="W550" s="48"/>
      <c r="X550" s="48"/>
      <c r="Y550" s="48"/>
      <c r="Z550" s="48"/>
      <c r="AA550" s="48"/>
      <c r="AB550" s="48"/>
      <c r="AC550" s="1524">
        <v>6</v>
      </c>
      <c r="AD550" s="1525"/>
      <c r="AE550" s="1525"/>
      <c r="AF550" s="1525"/>
      <c r="AG550" s="38" t="s">
        <v>403</v>
      </c>
      <c r="AH550" s="1381">
        <v>2029</v>
      </c>
      <c r="AI550" s="1381"/>
      <c r="AJ550" s="1381"/>
      <c r="AK550" s="1382"/>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319</v>
      </c>
      <c r="B555" s="2"/>
      <c r="C555" s="2" t="s">
        <v>452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2054</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702" t="s">
        <v>2056</v>
      </c>
      <c r="C559" s="1512"/>
      <c r="D559" s="1512"/>
      <c r="E559" s="1512"/>
      <c r="F559" s="1512"/>
      <c r="G559" s="1512"/>
      <c r="H559" s="1512"/>
      <c r="I559" s="1512"/>
      <c r="J559" s="1512"/>
      <c r="K559" s="1512"/>
      <c r="L559" s="1513"/>
      <c r="M559" s="1702" t="s">
        <v>2057</v>
      </c>
      <c r="N559" s="1512"/>
      <c r="O559" s="1512"/>
      <c r="P559" s="1513"/>
      <c r="Q559" s="1702" t="s">
        <v>2083</v>
      </c>
      <c r="R559" s="1512"/>
      <c r="S559" s="1513"/>
      <c r="T559" s="1702" t="s">
        <v>2084</v>
      </c>
      <c r="U559" s="1512"/>
      <c r="V559" s="1513"/>
      <c r="W559" s="1702" t="s">
        <v>453</v>
      </c>
      <c r="X559" s="1512"/>
      <c r="Y559" s="1513"/>
      <c r="Z559" s="1702" t="s">
        <v>1826</v>
      </c>
      <c r="AA559" s="1512"/>
      <c r="AB559" s="1512"/>
      <c r="AC559" s="1512"/>
      <c r="AD559" s="1513"/>
      <c r="AE559" s="1702" t="s">
        <v>1664</v>
      </c>
      <c r="AF559" s="1512"/>
      <c r="AG559" s="1512"/>
      <c r="AH559" s="1513"/>
      <c r="AI559" s="1702" t="s">
        <v>1665</v>
      </c>
      <c r="AJ559" s="1512"/>
      <c r="AK559" s="1512"/>
      <c r="AL559" s="1513"/>
      <c r="AM559" s="1702" t="s">
        <v>454</v>
      </c>
      <c r="AN559" s="1512"/>
      <c r="AO559" s="1512"/>
      <c r="AP559" s="1512"/>
      <c r="AQ559" s="1512"/>
      <c r="AR559" s="1512"/>
      <c r="AS559" s="1513"/>
      <c r="BB559" s="3"/>
      <c r="BC559" s="3"/>
      <c r="BD559" s="3"/>
      <c r="BE559" s="3"/>
      <c r="BF559" s="3"/>
      <c r="BG559" s="3"/>
      <c r="BH559" s="3" t="s">
        <v>581</v>
      </c>
      <c r="BI559" s="3" t="str">
        <f>AG665</f>
        <v>Yes</v>
      </c>
    </row>
    <row r="560" spans="1:66" ht="12.9" customHeight="1">
      <c r="B560" s="1703"/>
      <c r="C560" s="1514"/>
      <c r="D560" s="1514"/>
      <c r="E560" s="1514"/>
      <c r="F560" s="1514"/>
      <c r="G560" s="1514"/>
      <c r="H560" s="1514"/>
      <c r="I560" s="1514"/>
      <c r="J560" s="1514"/>
      <c r="K560" s="1514"/>
      <c r="L560" s="1515"/>
      <c r="M560" s="1703"/>
      <c r="N560" s="1514"/>
      <c r="O560" s="1514"/>
      <c r="P560" s="1515"/>
      <c r="Q560" s="1703"/>
      <c r="R560" s="1514"/>
      <c r="S560" s="1515"/>
      <c r="T560" s="1703"/>
      <c r="U560" s="1514"/>
      <c r="V560" s="1515"/>
      <c r="W560" s="1703"/>
      <c r="X560" s="1514"/>
      <c r="Y560" s="1515"/>
      <c r="Z560" s="1703"/>
      <c r="AA560" s="1514"/>
      <c r="AB560" s="1514"/>
      <c r="AC560" s="1514"/>
      <c r="AD560" s="1515"/>
      <c r="AE560" s="1703"/>
      <c r="AF560" s="1514"/>
      <c r="AG560" s="1514"/>
      <c r="AH560" s="1515"/>
      <c r="AI560" s="1703"/>
      <c r="AJ560" s="1514"/>
      <c r="AK560" s="1514"/>
      <c r="AL560" s="1515"/>
      <c r="AM560" s="1703"/>
      <c r="AN560" s="1514"/>
      <c r="AO560" s="1514"/>
      <c r="AP560" s="1514"/>
      <c r="AQ560" s="1514"/>
      <c r="AR560" s="1514"/>
      <c r="AS560" s="1515"/>
      <c r="AU560" s="1141"/>
      <c r="BB560" s="3"/>
      <c r="BC560" s="3"/>
      <c r="BD560" s="3"/>
      <c r="BE560" s="3"/>
      <c r="BF560" s="3"/>
      <c r="BG560" s="3"/>
      <c r="BH560" s="3"/>
      <c r="BI560" s="3"/>
    </row>
    <row r="561" spans="1:61" ht="12.9" customHeight="1">
      <c r="B561" s="1704"/>
      <c r="C561" s="1516"/>
      <c r="D561" s="1516"/>
      <c r="E561" s="1516"/>
      <c r="F561" s="1516"/>
      <c r="G561" s="1516"/>
      <c r="H561" s="1516"/>
      <c r="I561" s="1516"/>
      <c r="J561" s="1516"/>
      <c r="K561" s="1516"/>
      <c r="L561" s="1517"/>
      <c r="M561" s="1704"/>
      <c r="N561" s="1516"/>
      <c r="O561" s="1516"/>
      <c r="P561" s="1517"/>
      <c r="Q561" s="1704"/>
      <c r="R561" s="1516"/>
      <c r="S561" s="1517"/>
      <c r="T561" s="1704"/>
      <c r="U561" s="1516"/>
      <c r="V561" s="1517"/>
      <c r="W561" s="1704"/>
      <c r="X561" s="1516"/>
      <c r="Y561" s="1517"/>
      <c r="Z561" s="1704"/>
      <c r="AA561" s="1516"/>
      <c r="AB561" s="1516"/>
      <c r="AC561" s="1516"/>
      <c r="AD561" s="1517"/>
      <c r="AE561" s="1704"/>
      <c r="AF561" s="1516"/>
      <c r="AG561" s="1516"/>
      <c r="AH561" s="1517"/>
      <c r="AI561" s="1704"/>
      <c r="AJ561" s="1516"/>
      <c r="AK561" s="1516"/>
      <c r="AL561" s="1517"/>
      <c r="AM561" s="1704"/>
      <c r="AN561" s="1516"/>
      <c r="AO561" s="1516"/>
      <c r="AP561" s="1516"/>
      <c r="AQ561" s="1516"/>
      <c r="AR561" s="1516"/>
      <c r="AS561" s="1517"/>
      <c r="AU561" s="1141"/>
      <c r="BB561" s="3"/>
      <c r="BC561" s="3"/>
      <c r="BD561" s="3"/>
      <c r="BE561" s="3"/>
      <c r="BF561" s="3"/>
      <c r="BG561" s="3"/>
      <c r="BH561" s="3"/>
      <c r="BI561" s="3"/>
    </row>
    <row r="562" spans="1:61" ht="12.9" customHeight="1">
      <c r="B562" s="51" t="s">
        <v>112</v>
      </c>
      <c r="C562" s="1725" t="s">
        <v>2697</v>
      </c>
      <c r="D562" s="1725"/>
      <c r="E562" s="1725"/>
      <c r="F562" s="1725"/>
      <c r="G562" s="1725"/>
      <c r="H562" s="1725"/>
      <c r="I562" s="1725"/>
      <c r="J562" s="1725"/>
      <c r="K562" s="1725"/>
      <c r="L562" s="1725"/>
      <c r="M562" s="1719" t="s">
        <v>2073</v>
      </c>
      <c r="N562" s="1719"/>
      <c r="O562" s="1719"/>
      <c r="P562" s="1719"/>
      <c r="Q562" s="1541">
        <v>36</v>
      </c>
      <c r="R562" s="1541"/>
      <c r="S562" s="1542"/>
      <c r="T562" s="1540">
        <v>480</v>
      </c>
      <c r="U562" s="1541"/>
      <c r="V562" s="1542"/>
      <c r="W562" s="1543">
        <v>6.4100000000000004E-2</v>
      </c>
      <c r="X562" s="1544"/>
      <c r="Y562" s="1545"/>
      <c r="Z562" s="1708" t="s">
        <v>2736</v>
      </c>
      <c r="AA562" s="1708"/>
      <c r="AB562" s="1708"/>
      <c r="AC562" s="1708"/>
      <c r="AD562" s="1708"/>
      <c r="AE562" s="1521">
        <v>1</v>
      </c>
      <c r="AF562" s="1522"/>
      <c r="AG562" s="1522"/>
      <c r="AH562" s="1523"/>
      <c r="AI562" s="1722"/>
      <c r="AJ562" s="1723"/>
      <c r="AK562" s="1723"/>
      <c r="AL562" s="1724"/>
      <c r="AM562" s="1526">
        <v>16422285</v>
      </c>
      <c r="AN562" s="1527"/>
      <c r="AO562" s="1527"/>
      <c r="AP562" s="1527"/>
      <c r="AQ562" s="1527"/>
      <c r="AR562" s="1527"/>
      <c r="AS562" s="1528"/>
      <c r="AT562" s="1142"/>
      <c r="AU562" s="1141"/>
      <c r="BB562" s="3"/>
      <c r="BC562" s="3"/>
      <c r="BD562" s="3"/>
      <c r="BE562" s="3"/>
      <c r="BF562" s="3"/>
      <c r="BG562" s="3"/>
      <c r="BH562" s="3"/>
      <c r="BI562" s="3"/>
    </row>
    <row r="563" spans="1:61" ht="12.9" customHeight="1">
      <c r="B563" s="52" t="s">
        <v>113</v>
      </c>
      <c r="C563" s="1726" t="s">
        <v>2698</v>
      </c>
      <c r="D563" s="1726"/>
      <c r="E563" s="1726"/>
      <c r="F563" s="1726"/>
      <c r="G563" s="1726"/>
      <c r="H563" s="1726"/>
      <c r="I563" s="1726"/>
      <c r="J563" s="1726"/>
      <c r="K563" s="1726"/>
      <c r="L563" s="1726"/>
      <c r="M563" s="1719" t="s">
        <v>2067</v>
      </c>
      <c r="N563" s="1719"/>
      <c r="O563" s="1719"/>
      <c r="P563" s="1719"/>
      <c r="Q563" s="1540">
        <v>36</v>
      </c>
      <c r="R563" s="1541"/>
      <c r="S563" s="1542"/>
      <c r="T563" s="1540">
        <v>480</v>
      </c>
      <c r="U563" s="1541"/>
      <c r="V563" s="1542"/>
      <c r="W563" s="1543">
        <v>6.4100000000000004E-2</v>
      </c>
      <c r="X563" s="1544"/>
      <c r="Y563" s="1545"/>
      <c r="Z563" s="1708" t="s">
        <v>2736</v>
      </c>
      <c r="AA563" s="1708"/>
      <c r="AB563" s="1708"/>
      <c r="AC563" s="1708"/>
      <c r="AD563" s="1708"/>
      <c r="AE563" s="1521">
        <v>2</v>
      </c>
      <c r="AF563" s="1522"/>
      <c r="AG563" s="1522"/>
      <c r="AH563" s="1523"/>
      <c r="AI563" s="1722"/>
      <c r="AJ563" s="1723"/>
      <c r="AK563" s="1723"/>
      <c r="AL563" s="1724"/>
      <c r="AM563" s="1526">
        <v>14715624</v>
      </c>
      <c r="AN563" s="1527"/>
      <c r="AO563" s="1527"/>
      <c r="AP563" s="1527"/>
      <c r="AQ563" s="1527"/>
      <c r="AR563" s="1527"/>
      <c r="AS563" s="1528"/>
      <c r="AT563" s="1142" t="str">
        <f>IF(AND(NOT(C562=""),C563="",NOT(C564="")),"!","")</f>
        <v/>
      </c>
      <c r="AU563" s="1141"/>
      <c r="BB563" s="3"/>
      <c r="BC563" s="3"/>
      <c r="BD563" s="3"/>
      <c r="BE563" s="3"/>
      <c r="BF563" s="3"/>
      <c r="BG563" s="3"/>
      <c r="BH563" s="3"/>
      <c r="BI563" s="3"/>
    </row>
    <row r="564" spans="1:61" ht="12.9" customHeight="1">
      <c r="B564" s="52" t="s">
        <v>119</v>
      </c>
      <c r="C564" s="1720" t="s">
        <v>2699</v>
      </c>
      <c r="D564" s="1720"/>
      <c r="E564" s="1720"/>
      <c r="F564" s="1720"/>
      <c r="G564" s="1720"/>
      <c r="H564" s="1720"/>
      <c r="I564" s="1720"/>
      <c r="J564" s="1720"/>
      <c r="K564" s="1720"/>
      <c r="L564" s="1720"/>
      <c r="M564" s="1719" t="s">
        <v>2069</v>
      </c>
      <c r="N564" s="1719"/>
      <c r="O564" s="1719"/>
      <c r="P564" s="1719"/>
      <c r="Q564" s="1540">
        <f>57*12</f>
        <v>684</v>
      </c>
      <c r="R564" s="1541"/>
      <c r="S564" s="1542"/>
      <c r="T564" s="1540"/>
      <c r="U564" s="1541"/>
      <c r="V564" s="1542"/>
      <c r="W564" s="1543">
        <v>0</v>
      </c>
      <c r="X564" s="1544"/>
      <c r="Y564" s="1545"/>
      <c r="Z564" s="1708" t="s">
        <v>2737</v>
      </c>
      <c r="AA564" s="1708"/>
      <c r="AB564" s="1708"/>
      <c r="AC564" s="1708"/>
      <c r="AD564" s="1708"/>
      <c r="AE564" s="1521">
        <v>3</v>
      </c>
      <c r="AF564" s="1522"/>
      <c r="AG564" s="1522"/>
      <c r="AH564" s="1523"/>
      <c r="AI564" s="1722"/>
      <c r="AJ564" s="1723"/>
      <c r="AK564" s="1723"/>
      <c r="AL564" s="1724"/>
      <c r="AM564" s="1526">
        <v>8010000</v>
      </c>
      <c r="AN564" s="1527"/>
      <c r="AO564" s="1527"/>
      <c r="AP564" s="1527"/>
      <c r="AQ564" s="1527"/>
      <c r="AR564" s="1527"/>
      <c r="AS564" s="1528"/>
      <c r="AT564" s="1142" t="str">
        <f>IF(AND(NOT(C563=""),C564="",NOT(C565="")),"!","")</f>
        <v/>
      </c>
      <c r="AU564" s="1141"/>
      <c r="BB564" s="3"/>
      <c r="BC564" s="3"/>
      <c r="BD564" s="3"/>
      <c r="BE564" s="3"/>
      <c r="BF564" s="3"/>
      <c r="BG564" s="3"/>
      <c r="BH564" s="3"/>
      <c r="BI564" s="3"/>
    </row>
    <row r="565" spans="1:61" ht="12.9" customHeight="1">
      <c r="B565" s="52" t="s">
        <v>581</v>
      </c>
      <c r="C565" s="1720" t="s">
        <v>2700</v>
      </c>
      <c r="D565" s="1720"/>
      <c r="E565" s="1720"/>
      <c r="F565" s="1720"/>
      <c r="G565" s="1720"/>
      <c r="H565" s="1720"/>
      <c r="I565" s="1720"/>
      <c r="J565" s="1720"/>
      <c r="K565" s="1720"/>
      <c r="L565" s="1720"/>
      <c r="M565" s="1719" t="s">
        <v>2069</v>
      </c>
      <c r="N565" s="1719"/>
      <c r="O565" s="1719"/>
      <c r="P565" s="1719"/>
      <c r="Q565" s="1540">
        <f>57*12</f>
        <v>684</v>
      </c>
      <c r="R565" s="1541"/>
      <c r="S565" s="1542"/>
      <c r="T565" s="1540"/>
      <c r="U565" s="1541"/>
      <c r="V565" s="1542"/>
      <c r="W565" s="1543">
        <v>0.03</v>
      </c>
      <c r="X565" s="1544"/>
      <c r="Y565" s="1545"/>
      <c r="Z565" s="1708" t="s">
        <v>2737</v>
      </c>
      <c r="AA565" s="1708"/>
      <c r="AB565" s="1708"/>
      <c r="AC565" s="1708"/>
      <c r="AD565" s="1708"/>
      <c r="AE565" s="1521">
        <v>4</v>
      </c>
      <c r="AF565" s="1522"/>
      <c r="AG565" s="1522"/>
      <c r="AH565" s="1523"/>
      <c r="AI565" s="1722"/>
      <c r="AJ565" s="1723"/>
      <c r="AK565" s="1723"/>
      <c r="AL565" s="1724"/>
      <c r="AM565" s="1526">
        <v>8270000</v>
      </c>
      <c r="AN565" s="1527"/>
      <c r="AO565" s="1527"/>
      <c r="AP565" s="1527"/>
      <c r="AQ565" s="1527"/>
      <c r="AR565" s="1527"/>
      <c r="AS565" s="1528"/>
      <c r="AT565" s="1142" t="str">
        <f>IF(AND(NOT(C564=""),C565="",NOT(C566="")),"!","")</f>
        <v/>
      </c>
      <c r="AU565" s="1141"/>
      <c r="BB565" s="3"/>
      <c r="BC565" s="3"/>
      <c r="BD565" s="3"/>
      <c r="BE565" s="3"/>
      <c r="BF565" s="3"/>
      <c r="BG565" s="3"/>
      <c r="BH565" s="3"/>
      <c r="BI565" s="3"/>
    </row>
    <row r="566" spans="1:61" ht="12.9" customHeight="1">
      <c r="B566" s="52" t="s">
        <v>763</v>
      </c>
      <c r="C566" s="1720" t="s">
        <v>2791</v>
      </c>
      <c r="D566" s="1720"/>
      <c r="E566" s="1720"/>
      <c r="F566" s="1720"/>
      <c r="G566" s="1720"/>
      <c r="H566" s="1720"/>
      <c r="I566" s="1720"/>
      <c r="J566" s="1720"/>
      <c r="K566" s="1720"/>
      <c r="L566" s="1720"/>
      <c r="M566" s="1719" t="s">
        <v>2064</v>
      </c>
      <c r="N566" s="1719"/>
      <c r="O566" s="1719"/>
      <c r="P566" s="1719"/>
      <c r="Q566" s="1540"/>
      <c r="R566" s="1541"/>
      <c r="S566" s="1542"/>
      <c r="T566" s="1540"/>
      <c r="U566" s="1541"/>
      <c r="V566" s="1542"/>
      <c r="W566" s="1543"/>
      <c r="X566" s="1544"/>
      <c r="Y566" s="1545"/>
      <c r="Z566" s="1708" t="s">
        <v>591</v>
      </c>
      <c r="AA566" s="1708"/>
      <c r="AB566" s="1708"/>
      <c r="AC566" s="1708"/>
      <c r="AD566" s="1708"/>
      <c r="AE566" s="1521"/>
      <c r="AF566" s="1522"/>
      <c r="AG566" s="1522"/>
      <c r="AH566" s="1523"/>
      <c r="AI566" s="1722"/>
      <c r="AJ566" s="1723"/>
      <c r="AK566" s="1723"/>
      <c r="AL566" s="1724"/>
      <c r="AM566" s="1526">
        <v>12842407</v>
      </c>
      <c r="AN566" s="1527"/>
      <c r="AO566" s="1527"/>
      <c r="AP566" s="1527"/>
      <c r="AQ566" s="1527"/>
      <c r="AR566" s="1527"/>
      <c r="AS566" s="1528"/>
      <c r="AT566" s="1142" t="str">
        <f t="shared" ref="AT566:AT573" si="3">IF(AND(NOT(C565=""),C566="",NOT(C567="")),"!","")</f>
        <v/>
      </c>
      <c r="AU566" s="1141"/>
      <c r="BB566" s="3"/>
      <c r="BC566" s="3"/>
      <c r="BD566" s="3"/>
      <c r="BE566" s="3"/>
      <c r="BF566" s="3"/>
      <c r="BG566" s="3"/>
      <c r="BH566" s="3" t="s">
        <v>763</v>
      </c>
      <c r="BI566" s="3">
        <f>N673</f>
        <v>0</v>
      </c>
    </row>
    <row r="567" spans="1:61" ht="12.9" customHeight="1">
      <c r="B567" s="52" t="s">
        <v>584</v>
      </c>
      <c r="C567" s="1720" t="s">
        <v>2696</v>
      </c>
      <c r="D567" s="1720"/>
      <c r="E567" s="1720"/>
      <c r="F567" s="1720"/>
      <c r="G567" s="1720"/>
      <c r="H567" s="1720"/>
      <c r="I567" s="1720"/>
      <c r="J567" s="1720"/>
      <c r="K567" s="1720"/>
      <c r="L567" s="1720"/>
      <c r="M567" s="1719" t="s">
        <v>2059</v>
      </c>
      <c r="N567" s="1719"/>
      <c r="O567" s="1719"/>
      <c r="P567" s="1719"/>
      <c r="Q567" s="1540"/>
      <c r="R567" s="1541"/>
      <c r="S567" s="1542"/>
      <c r="T567" s="1540"/>
      <c r="U567" s="1541"/>
      <c r="V567" s="1542"/>
      <c r="W567" s="1543"/>
      <c r="X567" s="1544"/>
      <c r="Y567" s="1545"/>
      <c r="Z567" s="1708" t="s">
        <v>1183</v>
      </c>
      <c r="AA567" s="1708"/>
      <c r="AB567" s="1708"/>
      <c r="AC567" s="1708"/>
      <c r="AD567" s="1708"/>
      <c r="AE567" s="1521"/>
      <c r="AF567" s="1522"/>
      <c r="AG567" s="1522"/>
      <c r="AH567" s="1523"/>
      <c r="AI567" s="1722"/>
      <c r="AJ567" s="1723"/>
      <c r="AK567" s="1723"/>
      <c r="AL567" s="1724"/>
      <c r="AM567" s="1526">
        <v>3604920</v>
      </c>
      <c r="AN567" s="1527"/>
      <c r="AO567" s="1527"/>
      <c r="AP567" s="1527"/>
      <c r="AQ567" s="1527"/>
      <c r="AR567" s="1527"/>
      <c r="AS567" s="1528"/>
      <c r="AT567" s="1142" t="str">
        <f t="shared" si="3"/>
        <v/>
      </c>
      <c r="AU567" s="1141"/>
      <c r="BB567" s="3"/>
      <c r="BC567" s="3"/>
      <c r="BD567" s="3"/>
      <c r="BE567" s="3"/>
      <c r="BF567" s="3"/>
      <c r="BG567" s="3"/>
      <c r="BH567" s="3" t="s">
        <v>584</v>
      </c>
      <c r="BI567" s="3" t="str">
        <f>AG673</f>
        <v>No</v>
      </c>
    </row>
    <row r="568" spans="1:61" ht="12.9" customHeight="1">
      <c r="B568" s="52" t="s">
        <v>455</v>
      </c>
      <c r="C568" s="1720"/>
      <c r="D568" s="1720"/>
      <c r="E568" s="1720"/>
      <c r="F568" s="1720"/>
      <c r="G568" s="1720"/>
      <c r="H568" s="1720"/>
      <c r="I568" s="1720"/>
      <c r="J568" s="1720"/>
      <c r="K568" s="1720"/>
      <c r="L568" s="1720"/>
      <c r="M568" s="1719" t="s">
        <v>1183</v>
      </c>
      <c r="N568" s="1719"/>
      <c r="O568" s="1719"/>
      <c r="P568" s="1719"/>
      <c r="Q568" s="1540"/>
      <c r="R568" s="1541"/>
      <c r="S568" s="1542"/>
      <c r="T568" s="1540"/>
      <c r="U568" s="1541"/>
      <c r="V568" s="1542"/>
      <c r="W568" s="1543"/>
      <c r="X568" s="1544"/>
      <c r="Y568" s="1545"/>
      <c r="Z568" s="1708" t="s">
        <v>1183</v>
      </c>
      <c r="AA568" s="1708"/>
      <c r="AB568" s="1708"/>
      <c r="AC568" s="1708"/>
      <c r="AD568" s="1708"/>
      <c r="AE568" s="1521"/>
      <c r="AF568" s="1522"/>
      <c r="AG568" s="1522"/>
      <c r="AH568" s="1523"/>
      <c r="AI568" s="1722"/>
      <c r="AJ568" s="1723"/>
      <c r="AK568" s="1723"/>
      <c r="AL568" s="1724"/>
      <c r="AM568" s="1526"/>
      <c r="AN568" s="1527"/>
      <c r="AO568" s="1527"/>
      <c r="AP568" s="1527"/>
      <c r="AQ568" s="1527"/>
      <c r="AR568" s="1527"/>
      <c r="AS568" s="1528"/>
      <c r="AT568" s="1142" t="str">
        <f t="shared" si="3"/>
        <v/>
      </c>
      <c r="AU568" s="1141"/>
      <c r="BB568" s="3"/>
      <c r="BC568" s="3"/>
      <c r="BD568" s="3"/>
      <c r="BE568" s="3"/>
      <c r="BF568" s="3"/>
      <c r="BG568" s="3"/>
      <c r="BH568" s="3"/>
      <c r="BI568" s="3"/>
    </row>
    <row r="569" spans="1:61" ht="12.9" customHeight="1">
      <c r="B569" s="52" t="s">
        <v>456</v>
      </c>
      <c r="C569" s="1720"/>
      <c r="D569" s="1720"/>
      <c r="E569" s="1720"/>
      <c r="F569" s="1720"/>
      <c r="G569" s="1720"/>
      <c r="H569" s="1720"/>
      <c r="I569" s="1720"/>
      <c r="J569" s="1720"/>
      <c r="K569" s="1720"/>
      <c r="L569" s="1720"/>
      <c r="M569" s="1719" t="s">
        <v>1183</v>
      </c>
      <c r="N569" s="1719"/>
      <c r="O569" s="1719"/>
      <c r="P569" s="1719"/>
      <c r="Q569" s="1540"/>
      <c r="R569" s="1541"/>
      <c r="S569" s="1542"/>
      <c r="T569" s="1540"/>
      <c r="U569" s="1541"/>
      <c r="V569" s="1542"/>
      <c r="W569" s="1543"/>
      <c r="X569" s="1544"/>
      <c r="Y569" s="1545"/>
      <c r="Z569" s="1708" t="s">
        <v>1183</v>
      </c>
      <c r="AA569" s="1708"/>
      <c r="AB569" s="1708"/>
      <c r="AC569" s="1708"/>
      <c r="AD569" s="1708"/>
      <c r="AE569" s="1521"/>
      <c r="AF569" s="1522"/>
      <c r="AG569" s="1522"/>
      <c r="AH569" s="1523"/>
      <c r="AI569" s="1722"/>
      <c r="AJ569" s="1723"/>
      <c r="AK569" s="1723"/>
      <c r="AL569" s="1724"/>
      <c r="AM569" s="1526"/>
      <c r="AN569" s="1527"/>
      <c r="AO569" s="1527"/>
      <c r="AP569" s="1527"/>
      <c r="AQ569" s="1527"/>
      <c r="AR569" s="1527"/>
      <c r="AS569" s="1528"/>
      <c r="AT569" s="1142" t="str">
        <f t="shared" si="3"/>
        <v/>
      </c>
      <c r="AU569" s="1141"/>
      <c r="BB569" s="3"/>
      <c r="BC569" s="3"/>
      <c r="BD569" s="3"/>
      <c r="BE569" s="3"/>
      <c r="BF569" s="3"/>
      <c r="BG569" s="3"/>
      <c r="BH569" s="3"/>
      <c r="BI569" s="3"/>
    </row>
    <row r="570" spans="1:61" ht="12.9" customHeight="1">
      <c r="B570" s="52" t="s">
        <v>461</v>
      </c>
      <c r="C570" s="1720"/>
      <c r="D570" s="1720"/>
      <c r="E570" s="1720"/>
      <c r="F570" s="1720"/>
      <c r="G570" s="1720"/>
      <c r="H570" s="1720"/>
      <c r="I570" s="1720"/>
      <c r="J570" s="1720"/>
      <c r="K570" s="1720"/>
      <c r="L570" s="1720"/>
      <c r="M570" s="1719" t="s">
        <v>1183</v>
      </c>
      <c r="N570" s="1719"/>
      <c r="O570" s="1719"/>
      <c r="P570" s="1719"/>
      <c r="Q570" s="1540"/>
      <c r="R570" s="1541"/>
      <c r="S570" s="1542"/>
      <c r="T570" s="1540"/>
      <c r="U570" s="1541"/>
      <c r="V570" s="1542"/>
      <c r="W570" s="1543"/>
      <c r="X570" s="1544"/>
      <c r="Y570" s="1545"/>
      <c r="Z570" s="1708" t="s">
        <v>1183</v>
      </c>
      <c r="AA570" s="1708"/>
      <c r="AB570" s="1708"/>
      <c r="AC570" s="1708"/>
      <c r="AD570" s="1708"/>
      <c r="AE570" s="1521"/>
      <c r="AF570" s="1522"/>
      <c r="AG570" s="1522"/>
      <c r="AH570" s="1523"/>
      <c r="AI570" s="1722"/>
      <c r="AJ570" s="1723"/>
      <c r="AK570" s="1723"/>
      <c r="AL570" s="1724"/>
      <c r="AM570" s="1526"/>
      <c r="AN570" s="1527"/>
      <c r="AO570" s="1527"/>
      <c r="AP570" s="1527"/>
      <c r="AQ570" s="1527"/>
      <c r="AR570" s="1527"/>
      <c r="AS570" s="1528"/>
      <c r="AT570" s="1142" t="str">
        <f t="shared" si="3"/>
        <v/>
      </c>
      <c r="AU570" s="1141"/>
      <c r="BB570" s="3"/>
      <c r="BC570" s="3"/>
      <c r="BD570" s="3"/>
      <c r="BE570" s="3"/>
      <c r="BF570" s="3"/>
      <c r="BG570" s="3"/>
      <c r="BH570" s="3"/>
      <c r="BI570" s="3"/>
    </row>
    <row r="571" spans="1:61" ht="12.9" customHeight="1">
      <c r="B571" s="52" t="s">
        <v>646</v>
      </c>
      <c r="C571" s="1720"/>
      <c r="D571" s="1720"/>
      <c r="E571" s="1720"/>
      <c r="F571" s="1720"/>
      <c r="G571" s="1720"/>
      <c r="H571" s="1720"/>
      <c r="I571" s="1720"/>
      <c r="J571" s="1720"/>
      <c r="K571" s="1720"/>
      <c r="L571" s="1720"/>
      <c r="M571" s="1719" t="s">
        <v>1183</v>
      </c>
      <c r="N571" s="1719"/>
      <c r="O571" s="1719"/>
      <c r="P571" s="1719"/>
      <c r="Q571" s="1540"/>
      <c r="R571" s="1541"/>
      <c r="S571" s="1542"/>
      <c r="T571" s="1540"/>
      <c r="U571" s="1541"/>
      <c r="V571" s="1542"/>
      <c r="W571" s="1543"/>
      <c r="X571" s="1544"/>
      <c r="Y571" s="1545"/>
      <c r="Z571" s="1708" t="s">
        <v>1183</v>
      </c>
      <c r="AA571" s="1708"/>
      <c r="AB571" s="1708"/>
      <c r="AC571" s="1708"/>
      <c r="AD571" s="1708"/>
      <c r="AE571" s="1521"/>
      <c r="AF571" s="1522"/>
      <c r="AG571" s="1522"/>
      <c r="AH571" s="1523"/>
      <c r="AI571" s="1722"/>
      <c r="AJ571" s="1723"/>
      <c r="AK571" s="1723"/>
      <c r="AL571" s="1724"/>
      <c r="AM571" s="1526"/>
      <c r="AN571" s="1527"/>
      <c r="AO571" s="1527"/>
      <c r="AP571" s="1527"/>
      <c r="AQ571" s="1527"/>
      <c r="AR571" s="1527"/>
      <c r="AS571" s="1528"/>
      <c r="AT571" s="1142" t="str">
        <f t="shared" si="3"/>
        <v/>
      </c>
      <c r="BB571" s="3"/>
      <c r="BC571" s="3"/>
      <c r="BD571" s="3"/>
      <c r="BE571" s="3"/>
      <c r="BF571" s="3"/>
      <c r="BG571" s="3"/>
      <c r="BH571" s="3"/>
      <c r="BI571" s="3"/>
    </row>
    <row r="572" spans="1:61" ht="12.9" customHeight="1">
      <c r="B572" s="52" t="s">
        <v>362</v>
      </c>
      <c r="C572" s="1720"/>
      <c r="D572" s="1720"/>
      <c r="E572" s="1720"/>
      <c r="F572" s="1720"/>
      <c r="G572" s="1720"/>
      <c r="H572" s="1720"/>
      <c r="I572" s="1720"/>
      <c r="J572" s="1720"/>
      <c r="K572" s="1720"/>
      <c r="L572" s="1720"/>
      <c r="M572" s="1719" t="s">
        <v>1183</v>
      </c>
      <c r="N572" s="1719"/>
      <c r="O572" s="1719"/>
      <c r="P572" s="1719"/>
      <c r="Q572" s="1540"/>
      <c r="R572" s="1541"/>
      <c r="S572" s="1542"/>
      <c r="T572" s="1540"/>
      <c r="U572" s="1541"/>
      <c r="V572" s="1542"/>
      <c r="W572" s="1543"/>
      <c r="X572" s="1544"/>
      <c r="Y572" s="1545"/>
      <c r="Z572" s="1708" t="s">
        <v>1183</v>
      </c>
      <c r="AA572" s="1708"/>
      <c r="AB572" s="1708"/>
      <c r="AC572" s="1708"/>
      <c r="AD572" s="1708"/>
      <c r="AE572" s="1521"/>
      <c r="AF572" s="1522"/>
      <c r="AG572" s="1522"/>
      <c r="AH572" s="1523"/>
      <c r="AI572" s="1722"/>
      <c r="AJ572" s="1723"/>
      <c r="AK572" s="1723"/>
      <c r="AL572" s="1724"/>
      <c r="AM572" s="1526"/>
      <c r="AN572" s="1527"/>
      <c r="AO572" s="1527"/>
      <c r="AP572" s="1527"/>
      <c r="AQ572" s="1527"/>
      <c r="AR572" s="1527"/>
      <c r="AS572" s="1528"/>
      <c r="AT572" s="1142" t="str">
        <f t="shared" si="3"/>
        <v/>
      </c>
      <c r="BB572" s="3"/>
      <c r="BC572" s="3"/>
      <c r="BD572" s="3"/>
      <c r="BE572" s="3"/>
      <c r="BF572" s="3"/>
      <c r="BG572" s="3"/>
      <c r="BH572" s="3"/>
      <c r="BI572" s="3"/>
    </row>
    <row r="573" spans="1:61" ht="12.9" customHeight="1">
      <c r="B573" s="52" t="s">
        <v>363</v>
      </c>
      <c r="C573" s="1720"/>
      <c r="D573" s="1720"/>
      <c r="E573" s="1720"/>
      <c r="F573" s="1720"/>
      <c r="G573" s="1720"/>
      <c r="H573" s="1720"/>
      <c r="I573" s="1720"/>
      <c r="J573" s="1720"/>
      <c r="K573" s="1720"/>
      <c r="L573" s="1720"/>
      <c r="M573" s="1719" t="s">
        <v>1183</v>
      </c>
      <c r="N573" s="1719"/>
      <c r="O573" s="1719"/>
      <c r="P573" s="1719"/>
      <c r="Q573" s="1540"/>
      <c r="R573" s="1541"/>
      <c r="S573" s="1542"/>
      <c r="T573" s="1540"/>
      <c r="U573" s="1541"/>
      <c r="V573" s="1542"/>
      <c r="W573" s="1543"/>
      <c r="X573" s="1544"/>
      <c r="Y573" s="1545"/>
      <c r="Z573" s="1708" t="s">
        <v>1183</v>
      </c>
      <c r="AA573" s="1708"/>
      <c r="AB573" s="1708"/>
      <c r="AC573" s="1708"/>
      <c r="AD573" s="1708"/>
      <c r="AE573" s="1521"/>
      <c r="AF573" s="1522"/>
      <c r="AG573" s="1522"/>
      <c r="AH573" s="1523"/>
      <c r="AI573" s="1722"/>
      <c r="AJ573" s="1723"/>
      <c r="AK573" s="1723"/>
      <c r="AL573" s="1724"/>
      <c r="AM573" s="1526"/>
      <c r="AN573" s="1527"/>
      <c r="AO573" s="1527"/>
      <c r="AP573" s="1527"/>
      <c r="AQ573" s="1527"/>
      <c r="AR573" s="1527"/>
      <c r="AS573" s="1528"/>
      <c r="AT573" s="1142" t="str">
        <f t="shared" si="3"/>
        <v/>
      </c>
      <c r="BB573" s="3"/>
      <c r="BC573" s="3"/>
      <c r="BD573" s="3"/>
      <c r="BE573" s="3"/>
      <c r="BF573" s="3"/>
      <c r="BG573" s="3"/>
      <c r="BH573" s="3"/>
      <c r="BI573" s="3"/>
    </row>
    <row r="574" spans="1:61" ht="12.9"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729"/>
      <c r="V574" s="1538"/>
      <c r="W574" s="1538"/>
      <c r="X574" s="1538"/>
      <c r="Y574" s="1538"/>
      <c r="Z574" s="1538"/>
      <c r="AA574" s="1538"/>
      <c r="AB574" s="1538"/>
      <c r="AC574" s="1538"/>
      <c r="AD574" s="1538"/>
      <c r="AE574" s="1538"/>
      <c r="AF574" s="1538"/>
      <c r="AG574" s="1538"/>
      <c r="AH574" s="1538"/>
      <c r="AI574" s="1538"/>
      <c r="AJ574" s="1538"/>
      <c r="AK574" s="1538"/>
      <c r="AL574" s="1539"/>
      <c r="AM574" s="1653">
        <f>SUM(AM562:AS573)</f>
        <v>63865236</v>
      </c>
      <c r="AN574" s="1654"/>
      <c r="AO574" s="1654"/>
      <c r="AP574" s="1654"/>
      <c r="AQ574" s="1654"/>
      <c r="AR574" s="1654"/>
      <c r="AS574" s="1655"/>
      <c r="BB574" s="3"/>
      <c r="BC574" s="3"/>
      <c r="BD574" s="3"/>
      <c r="BE574" s="3"/>
      <c r="BF574" s="3"/>
      <c r="BG574" s="3"/>
      <c r="BH574" s="3" t="s">
        <v>455</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 customHeight="1">
      <c r="A576" s="55" t="s">
        <v>112</v>
      </c>
      <c r="B576" t="s">
        <v>463</v>
      </c>
      <c r="G576" s="1474" t="str">
        <f>C562</f>
        <v>Tax Exempt Bond Amount</v>
      </c>
      <c r="H576" s="1474"/>
      <c r="I576" s="1474"/>
      <c r="J576" s="1474"/>
      <c r="K576" s="1474"/>
      <c r="L576" s="1474"/>
      <c r="M576" s="1474"/>
      <c r="N576" s="1474"/>
      <c r="O576" s="1474"/>
      <c r="P576" s="1474"/>
      <c r="Q576" s="1474"/>
      <c r="R576" s="1474"/>
      <c r="S576" s="8"/>
      <c r="T576" s="55" t="s">
        <v>113</v>
      </c>
      <c r="U576" t="s">
        <v>463</v>
      </c>
      <c r="Z576" s="1474" t="str">
        <f>C563</f>
        <v>Taxable Bond Amount</v>
      </c>
      <c r="AA576" s="1474"/>
      <c r="AB576" s="1474"/>
      <c r="AC576" s="1474"/>
      <c r="AD576" s="1474"/>
      <c r="AE576" s="1474"/>
      <c r="AF576" s="1474"/>
      <c r="AG576" s="1474"/>
      <c r="AH576" s="1474"/>
      <c r="AI576" s="1474"/>
      <c r="AJ576" s="1474"/>
      <c r="AK576" s="1474"/>
      <c r="BB576" s="3"/>
      <c r="BC576" s="3"/>
      <c r="BD576" s="3"/>
      <c r="BE576" s="3"/>
      <c r="BF576" s="3"/>
      <c r="BG576" s="3"/>
      <c r="BH576" s="3"/>
      <c r="BI576" s="3"/>
    </row>
    <row r="577" spans="1:61" ht="12.9" customHeight="1">
      <c r="A577" s="22"/>
      <c r="B577" t="s">
        <v>85</v>
      </c>
      <c r="G577" s="1727" t="s">
        <v>2729</v>
      </c>
      <c r="H577" s="1727"/>
      <c r="I577" s="1727"/>
      <c r="J577" s="1727"/>
      <c r="K577" s="1727"/>
      <c r="L577" s="1727"/>
      <c r="M577" s="1727"/>
      <c r="N577" s="1727"/>
      <c r="O577" s="1727"/>
      <c r="P577" s="1727"/>
      <c r="Q577" s="1727"/>
      <c r="R577" s="1727"/>
      <c r="S577" s="8"/>
      <c r="T577" s="22"/>
      <c r="U577" t="s">
        <v>85</v>
      </c>
      <c r="Z577" s="1467" t="s">
        <v>2729</v>
      </c>
      <c r="AA577" s="1468"/>
      <c r="AB577" s="1468"/>
      <c r="AC577" s="1468"/>
      <c r="AD577" s="1468"/>
      <c r="AE577" s="1468"/>
      <c r="AF577" s="1468"/>
      <c r="AG577" s="1468"/>
      <c r="AH577" s="1468"/>
      <c r="AI577" s="1468"/>
      <c r="AJ577" s="1468"/>
      <c r="AK577" s="1468"/>
      <c r="BB577" s="3"/>
      <c r="BC577" s="3"/>
      <c r="BD577" s="3"/>
      <c r="BE577" s="3"/>
      <c r="BF577" s="3"/>
      <c r="BG577" s="3"/>
      <c r="BH577" s="3"/>
      <c r="BI577" s="3"/>
    </row>
    <row r="578" spans="1:61" ht="12.9" customHeight="1">
      <c r="A578" s="22"/>
      <c r="B578" t="s">
        <v>580</v>
      </c>
      <c r="G578" s="1727" t="s">
        <v>2730</v>
      </c>
      <c r="H578" s="1727"/>
      <c r="I578" s="1727"/>
      <c r="J578" s="1727"/>
      <c r="K578" s="1727"/>
      <c r="L578" s="1727"/>
      <c r="M578" s="1727"/>
      <c r="N578" s="1727"/>
      <c r="O578" s="1727"/>
      <c r="P578" s="1727"/>
      <c r="Q578" s="1727"/>
      <c r="R578" s="1727"/>
      <c r="T578" s="22"/>
      <c r="U578" t="s">
        <v>580</v>
      </c>
      <c r="Z578" s="1442" t="s">
        <v>2730</v>
      </c>
      <c r="AA578" s="1485"/>
      <c r="AB578" s="1485"/>
      <c r="AC578" s="1485"/>
      <c r="AD578" s="1485"/>
      <c r="AE578" s="1485"/>
      <c r="AF578" s="1485"/>
      <c r="AG578" s="1485"/>
      <c r="AH578" s="1485"/>
      <c r="AI578" s="1485"/>
      <c r="AJ578" s="1485"/>
      <c r="AK578" s="1485"/>
      <c r="BB578" s="3"/>
      <c r="BC578" s="3"/>
      <c r="BD578" s="3"/>
      <c r="BE578" s="3"/>
      <c r="BF578" s="3"/>
      <c r="BG578" s="3"/>
      <c r="BH578" s="3"/>
      <c r="BI578" s="3"/>
    </row>
    <row r="579" spans="1:61" ht="12.9" customHeight="1">
      <c r="A579" s="22"/>
      <c r="B579" t="s">
        <v>17</v>
      </c>
      <c r="G579" s="1467" t="s">
        <v>2731</v>
      </c>
      <c r="H579" s="1468"/>
      <c r="I579" s="1468"/>
      <c r="J579" s="1468"/>
      <c r="K579" s="1468"/>
      <c r="L579" s="1468"/>
      <c r="M579" s="1468"/>
      <c r="N579" s="1468"/>
      <c r="O579" s="1468"/>
      <c r="P579" s="1468"/>
      <c r="Q579" s="1468"/>
      <c r="R579" s="1468"/>
      <c r="S579" s="8"/>
      <c r="T579" s="22"/>
      <c r="U579" t="s">
        <v>17</v>
      </c>
      <c r="Z579" s="1442" t="s">
        <v>2731</v>
      </c>
      <c r="AA579" s="1485"/>
      <c r="AB579" s="1485"/>
      <c r="AC579" s="1485"/>
      <c r="AD579" s="1485"/>
      <c r="AE579" s="1485"/>
      <c r="AF579" s="1485"/>
      <c r="AG579" s="1485"/>
      <c r="AH579" s="1485"/>
      <c r="AI579" s="1485"/>
      <c r="AJ579" s="1485"/>
      <c r="AK579" s="1485"/>
      <c r="BB579" s="3"/>
      <c r="BC579" s="3"/>
      <c r="BD579" s="3"/>
      <c r="BE579" s="3"/>
      <c r="BF579" s="3"/>
      <c r="BG579" s="3"/>
      <c r="BH579" s="3"/>
      <c r="BI579" s="3"/>
    </row>
    <row r="580" spans="1:61" ht="12.9" customHeight="1">
      <c r="A580" s="22"/>
      <c r="B580" t="s">
        <v>316</v>
      </c>
      <c r="G580" s="1529" t="s">
        <v>2732</v>
      </c>
      <c r="H580" s="1498"/>
      <c r="I580" s="1498"/>
      <c r="J580" s="1498"/>
      <c r="K580" s="1498"/>
      <c r="L580" s="1498"/>
      <c r="O580" s="33" t="s">
        <v>206</v>
      </c>
      <c r="P580" s="1473"/>
      <c r="Q580" s="1473"/>
      <c r="R580" s="1473"/>
      <c r="S580" s="10"/>
      <c r="T580" s="22"/>
      <c r="U580" t="s">
        <v>316</v>
      </c>
      <c r="Z580" s="1529" t="s">
        <v>2732</v>
      </c>
      <c r="AA580" s="1498"/>
      <c r="AB580" s="1498"/>
      <c r="AC580" s="1498"/>
      <c r="AD580" s="1498"/>
      <c r="AE580" s="1498"/>
      <c r="AH580" s="33" t="s">
        <v>206</v>
      </c>
      <c r="AI580" s="1473"/>
      <c r="AJ580" s="1473"/>
      <c r="AK580" s="1473"/>
      <c r="BB580" s="3"/>
      <c r="BC580" s="3"/>
      <c r="BD580" s="3"/>
      <c r="BE580" s="3"/>
      <c r="BF580" s="3"/>
      <c r="BG580" s="3"/>
      <c r="BH580" s="3"/>
      <c r="BI580" s="3"/>
    </row>
    <row r="581" spans="1:61" ht="12.9" customHeight="1">
      <c r="A581" s="22"/>
      <c r="B581" t="s">
        <v>18</v>
      </c>
      <c r="H581" s="1467" t="s">
        <v>2701</v>
      </c>
      <c r="I581" s="1468"/>
      <c r="J581" s="1468"/>
      <c r="K581" s="1468"/>
      <c r="L581" s="1468"/>
      <c r="M581" s="1468"/>
      <c r="N581" s="1468"/>
      <c r="O581" s="1468"/>
      <c r="P581" s="1468"/>
      <c r="Q581" s="1468"/>
      <c r="R581" s="1468"/>
      <c r="S581" s="8"/>
      <c r="T581" s="22"/>
      <c r="U581" t="s">
        <v>18</v>
      </c>
      <c r="AA581" s="1467" t="s">
        <v>2702</v>
      </c>
      <c r="AB581" s="1468"/>
      <c r="AC581" s="1468"/>
      <c r="AD581" s="1468"/>
      <c r="AE581" s="1468"/>
      <c r="AF581" s="1468"/>
      <c r="AG581" s="1468"/>
      <c r="AH581" s="1468"/>
      <c r="AI581" s="1468"/>
      <c r="AJ581" s="1468"/>
      <c r="AK581" s="1468"/>
      <c r="BB581" s="3"/>
      <c r="BC581" s="3"/>
      <c r="BD581" s="3"/>
      <c r="BE581" s="3"/>
      <c r="BF581" s="3"/>
      <c r="BG581" s="3"/>
      <c r="BH581" s="3"/>
      <c r="BI581" s="3"/>
    </row>
    <row r="582" spans="1:61" ht="12.9" customHeight="1">
      <c r="A582" s="22"/>
      <c r="B582" s="320" t="s">
        <v>1184</v>
      </c>
      <c r="H582" s="8"/>
      <c r="I582" s="8"/>
      <c r="J582" s="8"/>
      <c r="K582" s="8"/>
      <c r="L582" s="8"/>
      <c r="M582" s="1721" t="s">
        <v>2733</v>
      </c>
      <c r="N582" s="1685"/>
      <c r="O582" s="1685"/>
      <c r="P582" s="1685"/>
      <c r="Q582" s="1685"/>
      <c r="R582" s="1685"/>
      <c r="S582" s="8"/>
      <c r="T582" s="22"/>
      <c r="U582" s="320" t="s">
        <v>1184</v>
      </c>
      <c r="AA582" s="8"/>
      <c r="AB582" s="8"/>
      <c r="AC582" s="8"/>
      <c r="AD582" s="8"/>
      <c r="AE582" s="8"/>
      <c r="AF582" s="1685" t="s">
        <v>2733</v>
      </c>
      <c r="AG582" s="1685"/>
      <c r="AH582" s="1685"/>
      <c r="AI582" s="1685"/>
      <c r="AJ582" s="1685"/>
      <c r="AK582" s="1685"/>
      <c r="BB582" s="3"/>
      <c r="BC582" s="3"/>
      <c r="BD582" s="3"/>
      <c r="BE582" s="3"/>
      <c r="BF582" s="3"/>
      <c r="BG582" s="3"/>
      <c r="BH582" s="3"/>
      <c r="BI582" s="3"/>
    </row>
    <row r="583" spans="1:61" ht="12.9" customHeight="1">
      <c r="A583" s="22"/>
      <c r="B583" t="s">
        <v>20</v>
      </c>
      <c r="N583" s="1344" t="s">
        <v>545</v>
      </c>
      <c r="O583" s="1344"/>
      <c r="T583" s="22"/>
      <c r="U583" t="s">
        <v>20</v>
      </c>
      <c r="AG583" s="1344" t="s">
        <v>545</v>
      </c>
      <c r="AH583" s="1344"/>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463</v>
      </c>
      <c r="G585" s="1474" t="str">
        <f>C564</f>
        <v>County Funds - NPLH</v>
      </c>
      <c r="H585" s="1474"/>
      <c r="I585" s="1474"/>
      <c r="J585" s="1474"/>
      <c r="K585" s="1474"/>
      <c r="L585" s="1474"/>
      <c r="M585" s="1474"/>
      <c r="N585" s="1474"/>
      <c r="O585" s="1474"/>
      <c r="P585" s="1474"/>
      <c r="Q585" s="1474"/>
      <c r="R585" s="1474"/>
      <c r="T585" s="55" t="s">
        <v>581</v>
      </c>
      <c r="U585" t="s">
        <v>463</v>
      </c>
      <c r="Z585" s="1474" t="str">
        <f>C565</f>
        <v>County Funds -General Funds AHTF</v>
      </c>
      <c r="AA585" s="1474"/>
      <c r="AB585" s="1474"/>
      <c r="AC585" s="1474"/>
      <c r="AD585" s="1474"/>
      <c r="AE585" s="1474"/>
      <c r="AF585" s="1474"/>
      <c r="AG585" s="1474"/>
      <c r="AH585" s="1474"/>
      <c r="AI585" s="1474"/>
      <c r="AJ585" s="1474"/>
      <c r="AK585" s="1474"/>
      <c r="BB585" s="3"/>
      <c r="BC585" s="3"/>
    </row>
    <row r="586" spans="1:61" ht="12.9" customHeight="1">
      <c r="A586" s="22"/>
      <c r="B586" t="s">
        <v>85</v>
      </c>
      <c r="G586" s="1467" t="s">
        <v>2708</v>
      </c>
      <c r="H586" s="1468"/>
      <c r="I586" s="1468"/>
      <c r="J586" s="1468"/>
      <c r="K586" s="1468"/>
      <c r="L586" s="1468"/>
      <c r="M586" s="1468"/>
      <c r="N586" s="1468"/>
      <c r="O586" s="1468"/>
      <c r="P586" s="1468"/>
      <c r="Q586" s="1468"/>
      <c r="R586" s="1468"/>
      <c r="T586" s="22"/>
      <c r="U586" t="s">
        <v>85</v>
      </c>
      <c r="Z586" s="1467" t="s">
        <v>2708</v>
      </c>
      <c r="AA586" s="1468"/>
      <c r="AB586" s="1468"/>
      <c r="AC586" s="1468"/>
      <c r="AD586" s="1468"/>
      <c r="AE586" s="1468"/>
      <c r="AF586" s="1468"/>
      <c r="AG586" s="1468"/>
      <c r="AH586" s="1468"/>
      <c r="AI586" s="1468"/>
      <c r="AJ586" s="1468"/>
      <c r="AK586" s="1468"/>
      <c r="BB586" s="3"/>
      <c r="BC586" s="3"/>
    </row>
    <row r="587" spans="1:61" ht="12.9" customHeight="1">
      <c r="A587" s="22"/>
      <c r="B587" t="s">
        <v>580</v>
      </c>
      <c r="G587" s="1442" t="s">
        <v>2686</v>
      </c>
      <c r="H587" s="1485"/>
      <c r="I587" s="1485"/>
      <c r="J587" s="1485"/>
      <c r="K587" s="1485"/>
      <c r="L587" s="1485"/>
      <c r="M587" s="1485"/>
      <c r="N587" s="1485"/>
      <c r="O587" s="1485"/>
      <c r="P587" s="1485"/>
      <c r="Q587" s="1485"/>
      <c r="R587" s="1485"/>
      <c r="T587" s="22"/>
      <c r="U587" t="s">
        <v>580</v>
      </c>
      <c r="Z587" s="1442" t="s">
        <v>2686</v>
      </c>
      <c r="AA587" s="1485"/>
      <c r="AB587" s="1485"/>
      <c r="AC587" s="1485"/>
      <c r="AD587" s="1485"/>
      <c r="AE587" s="1485"/>
      <c r="AF587" s="1485"/>
      <c r="AG587" s="1485"/>
      <c r="AH587" s="1485"/>
      <c r="AI587" s="1485"/>
      <c r="AJ587" s="1485"/>
      <c r="AK587" s="1485"/>
      <c r="BB587" s="3"/>
      <c r="BC587" s="3"/>
    </row>
    <row r="588" spans="1:61" ht="12.9" customHeight="1">
      <c r="A588" s="22"/>
      <c r="B588" t="s">
        <v>17</v>
      </c>
      <c r="G588" s="1442" t="s">
        <v>2709</v>
      </c>
      <c r="H588" s="1485"/>
      <c r="I588" s="1485"/>
      <c r="J588" s="1485"/>
      <c r="K588" s="1485"/>
      <c r="L588" s="1485"/>
      <c r="M588" s="1485"/>
      <c r="N588" s="1485"/>
      <c r="O588" s="1485"/>
      <c r="P588" s="1485"/>
      <c r="Q588" s="1485"/>
      <c r="R588" s="1485"/>
      <c r="T588" s="22"/>
      <c r="U588" t="s">
        <v>17</v>
      </c>
      <c r="Z588" s="1442" t="s">
        <v>2709</v>
      </c>
      <c r="AA588" s="1485"/>
      <c r="AB588" s="1485"/>
      <c r="AC588" s="1485"/>
      <c r="AD588" s="1485"/>
      <c r="AE588" s="1485"/>
      <c r="AF588" s="1485"/>
      <c r="AG588" s="1485"/>
      <c r="AH588" s="1485"/>
      <c r="AI588" s="1485"/>
      <c r="AJ588" s="1485"/>
      <c r="AK588" s="1485"/>
      <c r="BB588" s="3"/>
      <c r="BC588" s="3"/>
    </row>
    <row r="589" spans="1:61" ht="12.9" customHeight="1">
      <c r="A589" s="22"/>
      <c r="B589" t="s">
        <v>316</v>
      </c>
      <c r="G589" s="1529" t="s">
        <v>2710</v>
      </c>
      <c r="H589" s="1498"/>
      <c r="I589" s="1498"/>
      <c r="J589" s="1498"/>
      <c r="K589" s="1498"/>
      <c r="L589" s="1498"/>
      <c r="O589" s="33" t="s">
        <v>206</v>
      </c>
      <c r="P589" s="1473"/>
      <c r="Q589" s="1473"/>
      <c r="R589" s="1473"/>
      <c r="T589" s="22"/>
      <c r="U589" t="s">
        <v>316</v>
      </c>
      <c r="Z589" s="1529" t="s">
        <v>2710</v>
      </c>
      <c r="AA589" s="1498"/>
      <c r="AB589" s="1498"/>
      <c r="AC589" s="1498"/>
      <c r="AD589" s="1498"/>
      <c r="AE589" s="1498"/>
      <c r="AH589" s="33" t="s">
        <v>206</v>
      </c>
      <c r="AI589" s="1473"/>
      <c r="AJ589" s="1473"/>
      <c r="AK589" s="1473"/>
      <c r="BB589" s="3"/>
      <c r="BC589" s="3"/>
    </row>
    <row r="590" spans="1:61" ht="12.9" customHeight="1">
      <c r="A590" s="22"/>
      <c r="B590" t="s">
        <v>18</v>
      </c>
      <c r="H590" s="1467" t="s">
        <v>2734</v>
      </c>
      <c r="I590" s="1468"/>
      <c r="J590" s="1468"/>
      <c r="K590" s="1468"/>
      <c r="L590" s="1468"/>
      <c r="M590" s="1468"/>
      <c r="N590" s="1468"/>
      <c r="O590" s="1468"/>
      <c r="P590" s="1468"/>
      <c r="Q590" s="1468"/>
      <c r="R590" s="1468"/>
      <c r="T590" s="22"/>
      <c r="U590" t="s">
        <v>18</v>
      </c>
      <c r="AA590" s="1467" t="s">
        <v>2734</v>
      </c>
      <c r="AB590" s="1468"/>
      <c r="AC590" s="1468"/>
      <c r="AD590" s="1468"/>
      <c r="AE590" s="1468"/>
      <c r="AF590" s="1468"/>
      <c r="AG590" s="1468"/>
      <c r="AH590" s="1468"/>
      <c r="AI590" s="1468"/>
      <c r="AJ590" s="1468"/>
      <c r="AK590" s="1468"/>
      <c r="BB590" s="3"/>
      <c r="BC590" s="3"/>
    </row>
    <row r="591" spans="1:61" ht="12.9" customHeight="1">
      <c r="A591" s="22"/>
      <c r="B591" t="s">
        <v>20</v>
      </c>
      <c r="N591" s="1344" t="s">
        <v>545</v>
      </c>
      <c r="O591" s="1344"/>
      <c r="T591" s="22"/>
      <c r="U591" t="s">
        <v>20</v>
      </c>
      <c r="AG591" s="1344" t="s">
        <v>545</v>
      </c>
      <c r="AH591" s="1344"/>
      <c r="BB591" s="3"/>
      <c r="BC591" s="3"/>
    </row>
    <row r="592" spans="1:61" ht="12.9" customHeight="1">
      <c r="A592" s="22"/>
      <c r="T592" s="22"/>
      <c r="BB592" s="3"/>
      <c r="BC592" s="3"/>
    </row>
    <row r="593" spans="1:55" ht="12.9" customHeight="1">
      <c r="A593" s="55" t="s">
        <v>763</v>
      </c>
      <c r="B593" t="s">
        <v>463</v>
      </c>
      <c r="G593" s="1474" t="str">
        <f>C566</f>
        <v>Raymond James Tax Credit Fund</v>
      </c>
      <c r="H593" s="1474"/>
      <c r="I593" s="1474"/>
      <c r="J593" s="1474"/>
      <c r="K593" s="1474"/>
      <c r="L593" s="1474"/>
      <c r="M593" s="1474"/>
      <c r="N593" s="1474"/>
      <c r="O593" s="1474"/>
      <c r="P593" s="1474"/>
      <c r="Q593" s="1474"/>
      <c r="R593" s="1474"/>
      <c r="T593" s="55" t="s">
        <v>584</v>
      </c>
      <c r="U593" t="s">
        <v>463</v>
      </c>
      <c r="Z593" s="1474" t="str">
        <f>C567</f>
        <v>Costs Deferred Until Perm</v>
      </c>
      <c r="AA593" s="1474"/>
      <c r="AB593" s="1474"/>
      <c r="AC593" s="1474"/>
      <c r="AD593" s="1474"/>
      <c r="AE593" s="1474"/>
      <c r="AF593" s="1474"/>
      <c r="AG593" s="1474"/>
      <c r="AH593" s="1474"/>
      <c r="AI593" s="1474"/>
      <c r="AJ593" s="1474"/>
      <c r="AK593" s="1474"/>
      <c r="BB593" s="3"/>
      <c r="BC593" s="3"/>
    </row>
    <row r="594" spans="1:55" ht="12.9" customHeight="1">
      <c r="A594" s="22"/>
      <c r="B594" t="s">
        <v>85</v>
      </c>
      <c r="G594" s="1467" t="s">
        <v>2792</v>
      </c>
      <c r="H594" s="1468"/>
      <c r="I594" s="1468"/>
      <c r="J594" s="1468"/>
      <c r="K594" s="1468"/>
      <c r="L594" s="1468"/>
      <c r="M594" s="1468"/>
      <c r="N594" s="1468"/>
      <c r="O594" s="1468"/>
      <c r="P594" s="1468"/>
      <c r="Q594" s="1468"/>
      <c r="R594" s="1468"/>
      <c r="T594" s="22"/>
      <c r="U594" t="s">
        <v>85</v>
      </c>
      <c r="Z594" s="1467" t="s">
        <v>2647</v>
      </c>
      <c r="AA594" s="1468"/>
      <c r="AB594" s="1468"/>
      <c r="AC594" s="1468"/>
      <c r="AD594" s="1468"/>
      <c r="AE594" s="1468"/>
      <c r="AF594" s="1468"/>
      <c r="AG594" s="1468"/>
      <c r="AH594" s="1468"/>
      <c r="AI594" s="1468"/>
      <c r="AJ594" s="1468"/>
      <c r="AK594" s="1468"/>
      <c r="BB594" s="3"/>
      <c r="BC594" s="3"/>
    </row>
    <row r="595" spans="1:55" ht="12.9" customHeight="1">
      <c r="A595" s="22"/>
      <c r="B595" t="s">
        <v>580</v>
      </c>
      <c r="G595" s="1467" t="s">
        <v>2793</v>
      </c>
      <c r="H595" s="1468"/>
      <c r="I595" s="1468"/>
      <c r="J595" s="1468"/>
      <c r="K595" s="1468"/>
      <c r="L595" s="1468"/>
      <c r="M595" s="1468"/>
      <c r="N595" s="1468"/>
      <c r="O595" s="1468"/>
      <c r="P595" s="1468"/>
      <c r="Q595" s="1468"/>
      <c r="R595" s="1468"/>
      <c r="T595" s="22"/>
      <c r="U595" t="s">
        <v>580</v>
      </c>
      <c r="Z595" s="1442" t="s">
        <v>2704</v>
      </c>
      <c r="AA595" s="1485"/>
      <c r="AB595" s="1485"/>
      <c r="AC595" s="1485"/>
      <c r="AD595" s="1485"/>
      <c r="AE595" s="1485"/>
      <c r="AF595" s="1485"/>
      <c r="AG595" s="1485"/>
      <c r="AH595" s="1485"/>
      <c r="AI595" s="1485"/>
      <c r="AJ595" s="1485"/>
      <c r="AK595" s="1485"/>
      <c r="BB595" s="3"/>
      <c r="BC595" s="3"/>
    </row>
    <row r="596" spans="1:55" ht="12.9" customHeight="1">
      <c r="A596" s="22"/>
      <c r="B596" t="s">
        <v>17</v>
      </c>
      <c r="G596" s="1467" t="s">
        <v>2794</v>
      </c>
      <c r="H596" s="1468"/>
      <c r="I596" s="1468"/>
      <c r="J596" s="1468"/>
      <c r="K596" s="1468"/>
      <c r="L596" s="1468"/>
      <c r="M596" s="1468"/>
      <c r="N596" s="1468"/>
      <c r="O596" s="1468"/>
      <c r="P596" s="1468"/>
      <c r="Q596" s="1468"/>
      <c r="R596" s="1468"/>
      <c r="T596" s="22"/>
      <c r="U596" t="s">
        <v>17</v>
      </c>
      <c r="Z596" s="1442" t="s">
        <v>2705</v>
      </c>
      <c r="AA596" s="1485"/>
      <c r="AB596" s="1485"/>
      <c r="AC596" s="1485"/>
      <c r="AD596" s="1485"/>
      <c r="AE596" s="1485"/>
      <c r="AF596" s="1485"/>
      <c r="AG596" s="1485"/>
      <c r="AH596" s="1485"/>
      <c r="AI596" s="1485"/>
      <c r="AJ596" s="1485"/>
      <c r="AK596" s="1485"/>
    </row>
    <row r="597" spans="1:55" ht="12.9" customHeight="1">
      <c r="A597" s="22"/>
      <c r="B597" t="s">
        <v>316</v>
      </c>
      <c r="G597" s="1529" t="s">
        <v>2795</v>
      </c>
      <c r="H597" s="1498"/>
      <c r="I597" s="1498"/>
      <c r="J597" s="1498"/>
      <c r="K597" s="1498"/>
      <c r="L597" s="1498"/>
      <c r="O597" s="33" t="s">
        <v>206</v>
      </c>
      <c r="P597" s="1473"/>
      <c r="Q597" s="1473"/>
      <c r="R597" s="1473"/>
      <c r="T597" s="22"/>
      <c r="U597" t="s">
        <v>316</v>
      </c>
      <c r="Z597" s="1529" t="s">
        <v>2706</v>
      </c>
      <c r="AA597" s="1498"/>
      <c r="AB597" s="1498"/>
      <c r="AC597" s="1498"/>
      <c r="AD597" s="1498"/>
      <c r="AE597" s="1498"/>
      <c r="AH597" s="33" t="s">
        <v>206</v>
      </c>
      <c r="AI597" s="1473"/>
      <c r="AJ597" s="1473"/>
      <c r="AK597" s="1473"/>
      <c r="AZ597" s="3"/>
      <c r="BA597" s="3"/>
      <c r="BB597" s="3"/>
      <c r="BC597" s="3"/>
    </row>
    <row r="598" spans="1:55" ht="12.9" customHeight="1">
      <c r="A598" s="22"/>
      <c r="B598" t="s">
        <v>18</v>
      </c>
      <c r="H598" s="1467" t="s">
        <v>2703</v>
      </c>
      <c r="I598" s="1468"/>
      <c r="J598" s="1468"/>
      <c r="K598" s="1468"/>
      <c r="L598" s="1468"/>
      <c r="M598" s="1468"/>
      <c r="N598" s="1468"/>
      <c r="O598" s="1468"/>
      <c r="P598" s="1468"/>
      <c r="Q598" s="1468"/>
      <c r="R598" s="1468"/>
      <c r="T598" s="22"/>
      <c r="U598" t="s">
        <v>18</v>
      </c>
      <c r="AA598" s="1467" t="s">
        <v>2707</v>
      </c>
      <c r="AB598" s="1468"/>
      <c r="AC598" s="1468"/>
      <c r="AD598" s="1468"/>
      <c r="AE598" s="1468"/>
      <c r="AF598" s="1468"/>
      <c r="AG598" s="1468"/>
      <c r="AH598" s="1468"/>
      <c r="AI598" s="1468"/>
      <c r="AJ598" s="1468"/>
      <c r="AK598" s="1468"/>
      <c r="AZ598" s="3"/>
      <c r="BA598" s="3"/>
      <c r="BB598" s="3"/>
      <c r="BC598" s="3"/>
    </row>
    <row r="599" spans="1:55" ht="12.9" customHeight="1">
      <c r="A599" s="22"/>
      <c r="B599" t="s">
        <v>20</v>
      </c>
      <c r="N599" s="1344" t="s">
        <v>545</v>
      </c>
      <c r="O599" s="1344"/>
      <c r="T599" s="22"/>
      <c r="U599" t="s">
        <v>20</v>
      </c>
      <c r="AG599" s="1344" t="s">
        <v>545</v>
      </c>
      <c r="AH599" s="1344"/>
      <c r="AZ599" s="3"/>
      <c r="BA599" s="3"/>
      <c r="BB599" s="3"/>
      <c r="BC599" s="3"/>
    </row>
    <row r="600" spans="1:55" ht="12.9" customHeight="1">
      <c r="A600" s="22"/>
      <c r="T600" s="22"/>
      <c r="AZ600" s="3"/>
      <c r="BA600" s="3"/>
      <c r="BB600" s="3"/>
      <c r="BC600" s="3"/>
    </row>
    <row r="601" spans="1:55" ht="12.9" customHeight="1">
      <c r="A601" s="55" t="s">
        <v>455</v>
      </c>
      <c r="B601" t="s">
        <v>463</v>
      </c>
      <c r="G601" s="1474">
        <f>C568</f>
        <v>0</v>
      </c>
      <c r="H601" s="1474"/>
      <c r="I601" s="1474"/>
      <c r="J601" s="1474"/>
      <c r="K601" s="1474"/>
      <c r="L601" s="1474"/>
      <c r="M601" s="1474"/>
      <c r="N601" s="1474"/>
      <c r="O601" s="1474"/>
      <c r="P601" s="1474"/>
      <c r="Q601" s="1474"/>
      <c r="R601" s="1474"/>
      <c r="T601" s="55" t="s">
        <v>456</v>
      </c>
      <c r="U601" t="s">
        <v>463</v>
      </c>
      <c r="Z601" s="1474">
        <f>C569</f>
        <v>0</v>
      </c>
      <c r="AA601" s="1474"/>
      <c r="AB601" s="1474"/>
      <c r="AC601" s="1474"/>
      <c r="AD601" s="1474"/>
      <c r="AE601" s="1474"/>
      <c r="AF601" s="1474"/>
      <c r="AG601" s="1474"/>
      <c r="AH601" s="1474"/>
      <c r="AI601" s="1474"/>
      <c r="AJ601" s="1474"/>
      <c r="AK601" s="1474"/>
      <c r="AZ601" s="3"/>
      <c r="BA601" s="3"/>
      <c r="BB601" s="3"/>
      <c r="BC601" s="3"/>
    </row>
    <row r="602" spans="1:55" s="4" customFormat="1" ht="12.9" customHeight="1">
      <c r="A602" s="22"/>
      <c r="B602" t="s">
        <v>85</v>
      </c>
      <c r="C602"/>
      <c r="D602"/>
      <c r="E602"/>
      <c r="F602"/>
      <c r="G602" s="1468"/>
      <c r="H602" s="1468"/>
      <c r="I602" s="1468"/>
      <c r="J602" s="1468"/>
      <c r="K602" s="1468"/>
      <c r="L602" s="1468"/>
      <c r="M602" s="1468"/>
      <c r="N602" s="1468"/>
      <c r="O602" s="1468"/>
      <c r="P602" s="1468"/>
      <c r="Q602" s="1468"/>
      <c r="R602" s="1468"/>
      <c r="S602"/>
      <c r="T602" s="22"/>
      <c r="U602" t="s">
        <v>85</v>
      </c>
      <c r="V602"/>
      <c r="W602"/>
      <c r="X602"/>
      <c r="Y602"/>
      <c r="Z602" s="1468"/>
      <c r="AA602" s="1468"/>
      <c r="AB602" s="1468"/>
      <c r="AC602" s="1468"/>
      <c r="AD602" s="1468"/>
      <c r="AE602" s="1468"/>
      <c r="AF602" s="1468"/>
      <c r="AG602" s="1468"/>
      <c r="AH602" s="1468"/>
      <c r="AI602" s="1468"/>
      <c r="AJ602" s="1468"/>
      <c r="AK602" s="1468"/>
      <c r="AL602"/>
      <c r="AM602"/>
      <c r="AN602"/>
      <c r="AO602"/>
      <c r="AP602"/>
      <c r="AQ602"/>
      <c r="AR602"/>
      <c r="AS602"/>
      <c r="AT602"/>
      <c r="AU602"/>
      <c r="AV602"/>
      <c r="AW602"/>
      <c r="AX602"/>
      <c r="AY602"/>
      <c r="AZ602" s="3"/>
      <c r="BA602" s="3"/>
      <c r="BB602" s="3"/>
      <c r="BC602" s="3"/>
    </row>
    <row r="603" spans="1:55" s="4" customFormat="1" ht="12.9" customHeight="1">
      <c r="A603" s="22"/>
      <c r="B603" t="s">
        <v>580</v>
      </c>
      <c r="C603"/>
      <c r="D603"/>
      <c r="E603"/>
      <c r="F603"/>
      <c r="G603" s="1468"/>
      <c r="H603" s="1468"/>
      <c r="I603" s="1468"/>
      <c r="J603" s="1468"/>
      <c r="K603" s="1468"/>
      <c r="L603" s="1468"/>
      <c r="M603" s="1468"/>
      <c r="N603" s="1468"/>
      <c r="O603" s="1468"/>
      <c r="P603" s="1468"/>
      <c r="Q603" s="1468"/>
      <c r="R603" s="1468"/>
      <c r="S603"/>
      <c r="T603" s="22"/>
      <c r="U603" t="s">
        <v>580</v>
      </c>
      <c r="V603"/>
      <c r="W603"/>
      <c r="X603"/>
      <c r="Y603"/>
      <c r="Z603" s="1485"/>
      <c r="AA603" s="1485"/>
      <c r="AB603" s="1485"/>
      <c r="AC603" s="1485"/>
      <c r="AD603" s="1485"/>
      <c r="AE603" s="1485"/>
      <c r="AF603" s="1485"/>
      <c r="AG603" s="1485"/>
      <c r="AH603" s="1485"/>
      <c r="AI603" s="1485"/>
      <c r="AJ603" s="1485"/>
      <c r="AK603" s="1485"/>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68"/>
      <c r="H604" s="1468"/>
      <c r="I604" s="1468"/>
      <c r="J604" s="1468"/>
      <c r="K604" s="1468"/>
      <c r="L604" s="1468"/>
      <c r="M604" s="1468"/>
      <c r="N604" s="1468"/>
      <c r="O604" s="1468"/>
      <c r="P604" s="1468"/>
      <c r="Q604" s="1468"/>
      <c r="R604" s="1468"/>
      <c r="S604"/>
      <c r="T604" s="22"/>
      <c r="U604" t="s">
        <v>17</v>
      </c>
      <c r="V604"/>
      <c r="W604"/>
      <c r="X604"/>
      <c r="Y604"/>
      <c r="Z604" s="1485"/>
      <c r="AA604" s="1485"/>
      <c r="AB604" s="1485"/>
      <c r="AC604" s="1485"/>
      <c r="AD604" s="1485"/>
      <c r="AE604" s="1485"/>
      <c r="AF604" s="1485"/>
      <c r="AG604" s="1485"/>
      <c r="AH604" s="1485"/>
      <c r="AI604" s="1485"/>
      <c r="AJ604" s="1485"/>
      <c r="AK604" s="1485"/>
      <c r="AL604"/>
      <c r="AM604"/>
      <c r="AN604"/>
      <c r="AO604"/>
      <c r="AP604"/>
      <c r="AQ604"/>
      <c r="AR604"/>
      <c r="AS604"/>
      <c r="AT604"/>
      <c r="AU604"/>
      <c r="AV604"/>
      <c r="AW604"/>
      <c r="AX604"/>
      <c r="AY604"/>
      <c r="BB604" s="3"/>
      <c r="BC604" s="3"/>
    </row>
    <row r="605" spans="1:55" s="4" customFormat="1" ht="12.9" customHeight="1">
      <c r="A605" s="22"/>
      <c r="B605" t="s">
        <v>316</v>
      </c>
      <c r="C605"/>
      <c r="D605"/>
      <c r="E605"/>
      <c r="F605"/>
      <c r="G605" s="1498"/>
      <c r="H605" s="1498"/>
      <c r="I605" s="1498"/>
      <c r="J605" s="1498"/>
      <c r="K605" s="1498"/>
      <c r="L605" s="1498"/>
      <c r="M605"/>
      <c r="N605"/>
      <c r="O605" s="33" t="s">
        <v>206</v>
      </c>
      <c r="P605" s="1473"/>
      <c r="Q605" s="1473"/>
      <c r="R605" s="1473"/>
      <c r="S605"/>
      <c r="T605" s="22"/>
      <c r="U605" t="s">
        <v>316</v>
      </c>
      <c r="V605"/>
      <c r="W605"/>
      <c r="X605"/>
      <c r="Y605"/>
      <c r="Z605" s="1498"/>
      <c r="AA605" s="1498"/>
      <c r="AB605" s="1498"/>
      <c r="AC605" s="1498"/>
      <c r="AD605" s="1498"/>
      <c r="AE605" s="1498"/>
      <c r="AF605"/>
      <c r="AG605"/>
      <c r="AH605" s="33" t="s">
        <v>206</v>
      </c>
      <c r="AI605" s="1473"/>
      <c r="AJ605" s="1473"/>
      <c r="AK605" s="1473"/>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68"/>
      <c r="I606" s="1468"/>
      <c r="J606" s="1468"/>
      <c r="K606" s="1468"/>
      <c r="L606" s="1468"/>
      <c r="M606" s="1468"/>
      <c r="N606" s="1468"/>
      <c r="O606" s="1468"/>
      <c r="P606" s="1468"/>
      <c r="Q606" s="1468"/>
      <c r="R606" s="1468"/>
      <c r="S606"/>
      <c r="T606" s="22"/>
      <c r="U606" t="s">
        <v>18</v>
      </c>
      <c r="V606"/>
      <c r="W606"/>
      <c r="X606"/>
      <c r="Y606"/>
      <c r="Z606"/>
      <c r="AA606" s="1468"/>
      <c r="AB606" s="1468"/>
      <c r="AC606" s="1468"/>
      <c r="AD606" s="1468"/>
      <c r="AE606" s="1468"/>
      <c r="AF606" s="1468"/>
      <c r="AG606" s="1468"/>
      <c r="AH606" s="1468"/>
      <c r="AI606" s="1468"/>
      <c r="AJ606" s="1468"/>
      <c r="AK606" s="1468"/>
      <c r="AL606"/>
      <c r="AM606"/>
      <c r="AN606"/>
      <c r="AO606"/>
      <c r="AP606"/>
      <c r="AQ606"/>
      <c r="AR606"/>
      <c r="AS606"/>
      <c r="AT606"/>
      <c r="AU606"/>
      <c r="AV606"/>
      <c r="AW606"/>
      <c r="AX606"/>
      <c r="AY606"/>
      <c r="BB606" s="3"/>
      <c r="BC606" s="3"/>
    </row>
    <row r="607" spans="1:55" ht="12.9" customHeight="1">
      <c r="A607" s="22"/>
      <c r="B607" t="s">
        <v>20</v>
      </c>
      <c r="N607" s="1344" t="s">
        <v>669</v>
      </c>
      <c r="O607" s="1344"/>
      <c r="T607" s="22"/>
      <c r="U607" t="s">
        <v>20</v>
      </c>
      <c r="AG607" s="1344" t="s">
        <v>669</v>
      </c>
      <c r="AH607" s="1344"/>
      <c r="BB607" s="3"/>
      <c r="BC607" s="3"/>
    </row>
    <row r="608" spans="1:55" ht="12.9" customHeight="1">
      <c r="A608" s="22"/>
      <c r="T608" s="22"/>
      <c r="BB608" s="3"/>
      <c r="BC608" s="3"/>
    </row>
    <row r="609" spans="1:55" ht="12.9" customHeight="1">
      <c r="A609" s="55" t="s">
        <v>461</v>
      </c>
      <c r="B609" t="s">
        <v>463</v>
      </c>
      <c r="G609" s="1474">
        <f>C570</f>
        <v>0</v>
      </c>
      <c r="H609" s="1474"/>
      <c r="I609" s="1474"/>
      <c r="J609" s="1474"/>
      <c r="K609" s="1474"/>
      <c r="L609" s="1474"/>
      <c r="M609" s="1474"/>
      <c r="N609" s="1474"/>
      <c r="O609" s="1474"/>
      <c r="P609" s="1474"/>
      <c r="Q609" s="1474"/>
      <c r="R609" s="1474"/>
      <c r="T609" s="55" t="s">
        <v>646</v>
      </c>
      <c r="U609" t="s">
        <v>463</v>
      </c>
      <c r="Z609" s="1474">
        <f>C571</f>
        <v>0</v>
      </c>
      <c r="AA609" s="1474"/>
      <c r="AB609" s="1474"/>
      <c r="AC609" s="1474"/>
      <c r="AD609" s="1474"/>
      <c r="AE609" s="1474"/>
      <c r="AF609" s="1474"/>
      <c r="AG609" s="1474"/>
      <c r="AH609" s="1474"/>
      <c r="AI609" s="1474"/>
      <c r="AJ609" s="1474"/>
      <c r="AK609" s="1474"/>
      <c r="BB609" s="3"/>
      <c r="BC609" s="3"/>
    </row>
    <row r="610" spans="1:55" ht="12.9" customHeight="1">
      <c r="A610" s="22"/>
      <c r="B610" t="s">
        <v>85</v>
      </c>
      <c r="G610" s="1468"/>
      <c r="H610" s="1468"/>
      <c r="I610" s="1468"/>
      <c r="J610" s="1468"/>
      <c r="K610" s="1468"/>
      <c r="L610" s="1468"/>
      <c r="M610" s="1468"/>
      <c r="N610" s="1468"/>
      <c r="O610" s="1468"/>
      <c r="P610" s="1468"/>
      <c r="Q610" s="1468"/>
      <c r="R610" s="1468"/>
      <c r="T610" s="22"/>
      <c r="U610" t="s">
        <v>85</v>
      </c>
      <c r="Z610" s="1468"/>
      <c r="AA610" s="1468"/>
      <c r="AB610" s="1468"/>
      <c r="AC610" s="1468"/>
      <c r="AD610" s="1468"/>
      <c r="AE610" s="1468"/>
      <c r="AF610" s="1468"/>
      <c r="AG610" s="1468"/>
      <c r="AH610" s="1468"/>
      <c r="AI610" s="1468"/>
      <c r="AJ610" s="1468"/>
      <c r="AK610" s="1468"/>
      <c r="AZ610" s="3"/>
      <c r="BA610" s="3"/>
      <c r="BB610" s="3"/>
      <c r="BC610" s="3"/>
    </row>
    <row r="611" spans="1:55" ht="12.9" customHeight="1">
      <c r="A611" s="22"/>
      <c r="B611" t="s">
        <v>580</v>
      </c>
      <c r="G611" s="1468"/>
      <c r="H611" s="1468"/>
      <c r="I611" s="1468"/>
      <c r="J611" s="1468"/>
      <c r="K611" s="1468"/>
      <c r="L611" s="1468"/>
      <c r="M611" s="1468"/>
      <c r="N611" s="1468"/>
      <c r="O611" s="1468"/>
      <c r="P611" s="1468"/>
      <c r="Q611" s="1468"/>
      <c r="R611" s="1468"/>
      <c r="T611" s="22"/>
      <c r="U611" t="s">
        <v>580</v>
      </c>
      <c r="Z611" s="1485"/>
      <c r="AA611" s="1485"/>
      <c r="AB611" s="1485"/>
      <c r="AC611" s="1485"/>
      <c r="AD611" s="1485"/>
      <c r="AE611" s="1485"/>
      <c r="AF611" s="1485"/>
      <c r="AG611" s="1485"/>
      <c r="AH611" s="1485"/>
      <c r="AI611" s="1485"/>
      <c r="AJ611" s="1485"/>
      <c r="AK611" s="1485"/>
      <c r="AZ611" s="3"/>
      <c r="BA611" s="3"/>
      <c r="BB611" s="3"/>
      <c r="BC611" s="3"/>
    </row>
    <row r="612" spans="1:55" ht="12.9" customHeight="1">
      <c r="A612" s="22"/>
      <c r="B612" t="s">
        <v>17</v>
      </c>
      <c r="G612" s="1468"/>
      <c r="H612" s="1468"/>
      <c r="I612" s="1468"/>
      <c r="J612" s="1468"/>
      <c r="K612" s="1468"/>
      <c r="L612" s="1468"/>
      <c r="M612" s="1468"/>
      <c r="N612" s="1468"/>
      <c r="O612" s="1468"/>
      <c r="P612" s="1468"/>
      <c r="Q612" s="1468"/>
      <c r="R612" s="1468"/>
      <c r="T612" s="22"/>
      <c r="U612" t="s">
        <v>17</v>
      </c>
      <c r="Z612" s="1485"/>
      <c r="AA612" s="1485"/>
      <c r="AB612" s="1485"/>
      <c r="AC612" s="1485"/>
      <c r="AD612" s="1485"/>
      <c r="AE612" s="1485"/>
      <c r="AF612" s="1485"/>
      <c r="AG612" s="1485"/>
      <c r="AH612" s="1485"/>
      <c r="AI612" s="1485"/>
      <c r="AJ612" s="1485"/>
      <c r="AK612" s="1485"/>
      <c r="AZ612" s="3"/>
      <c r="BA612" s="3"/>
      <c r="BB612" s="3"/>
      <c r="BC612" s="3"/>
    </row>
    <row r="613" spans="1:55" s="4" customFormat="1" ht="12.9" customHeight="1">
      <c r="A613" s="22"/>
      <c r="B613" t="s">
        <v>316</v>
      </c>
      <c r="C613"/>
      <c r="D613"/>
      <c r="E613"/>
      <c r="F613"/>
      <c r="G613" s="1498"/>
      <c r="H613" s="1498"/>
      <c r="I613" s="1498"/>
      <c r="J613" s="1498"/>
      <c r="K613" s="1498"/>
      <c r="L613" s="1498"/>
      <c r="M613"/>
      <c r="N613"/>
      <c r="O613" s="33" t="s">
        <v>206</v>
      </c>
      <c r="P613" s="1473"/>
      <c r="Q613" s="1473"/>
      <c r="R613" s="1473"/>
      <c r="S613"/>
      <c r="T613" s="22"/>
      <c r="U613" t="s">
        <v>316</v>
      </c>
      <c r="V613"/>
      <c r="W613"/>
      <c r="X613"/>
      <c r="Y613"/>
      <c r="Z613" s="1498"/>
      <c r="AA613" s="1498"/>
      <c r="AB613" s="1498"/>
      <c r="AC613" s="1498"/>
      <c r="AD613" s="1498"/>
      <c r="AE613" s="1498"/>
      <c r="AF613"/>
      <c r="AG613"/>
      <c r="AH613" s="33" t="s">
        <v>206</v>
      </c>
      <c r="AI613" s="1473"/>
      <c r="AJ613" s="1473"/>
      <c r="AK613" s="1473"/>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68"/>
      <c r="I614" s="1468"/>
      <c r="J614" s="1468"/>
      <c r="K614" s="1468"/>
      <c r="L614" s="1468"/>
      <c r="M614" s="1468"/>
      <c r="N614" s="1468"/>
      <c r="O614" s="1468"/>
      <c r="P614" s="1468"/>
      <c r="Q614" s="1468"/>
      <c r="R614" s="1468"/>
      <c r="S614"/>
      <c r="T614" s="22"/>
      <c r="U614" t="s">
        <v>18</v>
      </c>
      <c r="V614"/>
      <c r="W614"/>
      <c r="X614"/>
      <c r="Y614"/>
      <c r="Z614"/>
      <c r="AA614" s="1468"/>
      <c r="AB614" s="1468"/>
      <c r="AC614" s="1468"/>
      <c r="AD614" s="1468"/>
      <c r="AE614" s="1468"/>
      <c r="AF614" s="1468"/>
      <c r="AG614" s="1468"/>
      <c r="AH614" s="1468"/>
      <c r="AI614" s="1468"/>
      <c r="AJ614" s="1468"/>
      <c r="AK614" s="1468"/>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44" t="s">
        <v>669</v>
      </c>
      <c r="O615" s="1344"/>
      <c r="P615"/>
      <c r="Q615"/>
      <c r="R615"/>
      <c r="S615"/>
      <c r="T615" s="22"/>
      <c r="U615" t="s">
        <v>20</v>
      </c>
      <c r="V615"/>
      <c r="W615"/>
      <c r="X615"/>
      <c r="Y615"/>
      <c r="Z615"/>
      <c r="AA615"/>
      <c r="AB615"/>
      <c r="AC615"/>
      <c r="AD615"/>
      <c r="AE615"/>
      <c r="AF615"/>
      <c r="AG615" s="1344" t="s">
        <v>669</v>
      </c>
      <c r="AH615" s="1344"/>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362</v>
      </c>
      <c r="B617" t="s">
        <v>463</v>
      </c>
      <c r="G617" s="1474">
        <f>C572</f>
        <v>0</v>
      </c>
      <c r="H617" s="1474"/>
      <c r="I617" s="1474"/>
      <c r="J617" s="1474"/>
      <c r="K617" s="1474"/>
      <c r="L617" s="1474"/>
      <c r="M617" s="1474"/>
      <c r="N617" s="1474"/>
      <c r="O617" s="1474"/>
      <c r="P617" s="1474"/>
      <c r="Q617" s="1474"/>
      <c r="R617" s="1474"/>
      <c r="T617" s="55" t="s">
        <v>363</v>
      </c>
      <c r="U617" t="s">
        <v>463</v>
      </c>
      <c r="Z617" s="1474">
        <f>C573</f>
        <v>0</v>
      </c>
      <c r="AA617" s="1474"/>
      <c r="AB617" s="1474"/>
      <c r="AC617" s="1474"/>
      <c r="AD617" s="1474"/>
      <c r="AE617" s="1474"/>
      <c r="AF617" s="1474"/>
      <c r="AG617" s="1474"/>
      <c r="AH617" s="1474"/>
      <c r="AI617" s="1474"/>
      <c r="AJ617" s="1474"/>
      <c r="AK617" s="1474"/>
      <c r="AZ617" s="3"/>
      <c r="BA617" s="3"/>
      <c r="BB617" s="3"/>
      <c r="BC617" s="3"/>
    </row>
    <row r="618" spans="1:55" ht="12.9" customHeight="1">
      <c r="B618" t="s">
        <v>85</v>
      </c>
      <c r="G618" s="1468"/>
      <c r="H618" s="1468"/>
      <c r="I618" s="1468"/>
      <c r="J618" s="1468"/>
      <c r="K618" s="1468"/>
      <c r="L618" s="1468"/>
      <c r="M618" s="1468"/>
      <c r="N618" s="1468"/>
      <c r="O618" s="1468"/>
      <c r="P618" s="1468"/>
      <c r="Q618" s="1468"/>
      <c r="R618" s="1468"/>
      <c r="U618" t="s">
        <v>85</v>
      </c>
      <c r="Z618" s="1468"/>
      <c r="AA618" s="1468"/>
      <c r="AB618" s="1468"/>
      <c r="AC618" s="1468"/>
      <c r="AD618" s="1468"/>
      <c r="AE618" s="1468"/>
      <c r="AF618" s="1468"/>
      <c r="AG618" s="1468"/>
      <c r="AH618" s="1468"/>
      <c r="AI618" s="1468"/>
      <c r="AJ618" s="1468"/>
      <c r="AK618" s="1468"/>
      <c r="AZ618" s="3"/>
      <c r="BA618" s="3"/>
      <c r="BB618" s="3"/>
      <c r="BC618" s="3"/>
    </row>
    <row r="619" spans="1:55" ht="12.9" customHeight="1">
      <c r="B619" t="s">
        <v>580</v>
      </c>
      <c r="G619" s="1468"/>
      <c r="H619" s="1468"/>
      <c r="I619" s="1468"/>
      <c r="J619" s="1468"/>
      <c r="K619" s="1468"/>
      <c r="L619" s="1468"/>
      <c r="M619" s="1468"/>
      <c r="N619" s="1468"/>
      <c r="O619" s="1468"/>
      <c r="P619" s="1468"/>
      <c r="Q619" s="1468"/>
      <c r="R619" s="1468"/>
      <c r="U619" t="s">
        <v>580</v>
      </c>
      <c r="Z619" s="1485"/>
      <c r="AA619" s="1485"/>
      <c r="AB619" s="1485"/>
      <c r="AC619" s="1485"/>
      <c r="AD619" s="1485"/>
      <c r="AE619" s="1485"/>
      <c r="AF619" s="1485"/>
      <c r="AG619" s="1485"/>
      <c r="AH619" s="1485"/>
      <c r="AI619" s="1485"/>
      <c r="AJ619" s="1485"/>
      <c r="AK619" s="1485"/>
      <c r="AZ619" s="3"/>
      <c r="BA619" s="3"/>
      <c r="BB619" s="3"/>
      <c r="BC619" s="3"/>
    </row>
    <row r="620" spans="1:55" ht="12.9" customHeight="1">
      <c r="B620" t="s">
        <v>17</v>
      </c>
      <c r="G620" s="1468"/>
      <c r="H620" s="1468"/>
      <c r="I620" s="1468"/>
      <c r="J620" s="1468"/>
      <c r="K620" s="1468"/>
      <c r="L620" s="1468"/>
      <c r="M620" s="1468"/>
      <c r="N620" s="1468"/>
      <c r="O620" s="1468"/>
      <c r="P620" s="1468"/>
      <c r="Q620" s="1468"/>
      <c r="R620" s="1468"/>
      <c r="U620" t="s">
        <v>17</v>
      </c>
      <c r="Z620" s="1485"/>
      <c r="AA620" s="1485"/>
      <c r="AB620" s="1485"/>
      <c r="AC620" s="1485"/>
      <c r="AD620" s="1485"/>
      <c r="AE620" s="1485"/>
      <c r="AF620" s="1485"/>
      <c r="AG620" s="1485"/>
      <c r="AH620" s="1485"/>
      <c r="AI620" s="1485"/>
      <c r="AJ620" s="1485"/>
      <c r="AK620" s="1485"/>
      <c r="AZ620" s="3"/>
      <c r="BA620" s="3"/>
      <c r="BB620" s="3"/>
      <c r="BC620" s="3"/>
    </row>
    <row r="621" spans="1:55" ht="12.9" customHeight="1">
      <c r="B621" t="s">
        <v>316</v>
      </c>
      <c r="G621" s="1498"/>
      <c r="H621" s="1498"/>
      <c r="I621" s="1498"/>
      <c r="J621" s="1498"/>
      <c r="K621" s="1498"/>
      <c r="L621" s="1498"/>
      <c r="O621" s="33" t="s">
        <v>206</v>
      </c>
      <c r="P621" s="1473"/>
      <c r="Q621" s="1473"/>
      <c r="R621" s="1473"/>
      <c r="U621" t="s">
        <v>316</v>
      </c>
      <c r="Z621" s="1498"/>
      <c r="AA621" s="1498"/>
      <c r="AB621" s="1498"/>
      <c r="AC621" s="1498"/>
      <c r="AD621" s="1498"/>
      <c r="AE621" s="1498"/>
      <c r="AH621" s="33" t="s">
        <v>206</v>
      </c>
      <c r="AI621" s="1473"/>
      <c r="AJ621" s="1473"/>
      <c r="AK621" s="1473"/>
      <c r="AZ621" s="3"/>
      <c r="BA621" s="3"/>
      <c r="BB621" s="3"/>
      <c r="BC621" s="3"/>
    </row>
    <row r="622" spans="1:55" ht="12.9" customHeight="1">
      <c r="B622" t="s">
        <v>18</v>
      </c>
      <c r="H622" s="1468"/>
      <c r="I622" s="1468"/>
      <c r="J622" s="1468"/>
      <c r="K622" s="1468"/>
      <c r="L622" s="1468"/>
      <c r="M622" s="1468"/>
      <c r="N622" s="1468"/>
      <c r="O622" s="1468"/>
      <c r="P622" s="1468"/>
      <c r="Q622" s="1468"/>
      <c r="R622" s="1468"/>
      <c r="U622" t="s">
        <v>18</v>
      </c>
      <c r="AA622" s="1468"/>
      <c r="AB622" s="1468"/>
      <c r="AC622" s="1468"/>
      <c r="AD622" s="1468"/>
      <c r="AE622" s="1468"/>
      <c r="AF622" s="1468"/>
      <c r="AG622" s="1468"/>
      <c r="AH622" s="1468"/>
      <c r="AI622" s="1468"/>
      <c r="AJ622" s="1468"/>
      <c r="AK622" s="1468"/>
      <c r="AU622" s="895"/>
      <c r="AV622" s="895"/>
      <c r="AW622" s="895"/>
      <c r="AX622" s="895"/>
      <c r="AY622" s="895"/>
      <c r="AZ622" s="3"/>
      <c r="BA622" s="3"/>
      <c r="BB622" s="3"/>
      <c r="BC622" s="3"/>
    </row>
    <row r="623" spans="1:55" ht="12.9" customHeight="1">
      <c r="B623" t="s">
        <v>20</v>
      </c>
      <c r="N623" s="1344" t="s">
        <v>669</v>
      </c>
      <c r="O623" s="1344"/>
      <c r="U623" t="s">
        <v>20</v>
      </c>
      <c r="AG623" s="1344" t="s">
        <v>669</v>
      </c>
      <c r="AH623" s="1344"/>
      <c r="AU623" s="895"/>
      <c r="AV623" s="895"/>
      <c r="AW623" s="895"/>
      <c r="AX623" s="895"/>
      <c r="AY623" s="895"/>
      <c r="AZ623" s="3"/>
      <c r="BA623" s="3"/>
      <c r="BB623" s="3"/>
      <c r="BC623" s="3"/>
    </row>
    <row r="624" spans="1:55" ht="12.9" customHeight="1">
      <c r="AZ624" s="3"/>
      <c r="BA624" s="3"/>
      <c r="BB624" s="3"/>
      <c r="BC624" s="3"/>
    </row>
    <row r="625" spans="1:56" ht="12.9"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 customHeight="1">
      <c r="AZ627" s="3"/>
      <c r="BA627" s="3"/>
      <c r="BB627" s="3"/>
      <c r="BC627" s="3"/>
    </row>
    <row r="628" spans="1:56" ht="12.9" customHeight="1">
      <c r="A628" s="2" t="s">
        <v>319</v>
      </c>
      <c r="B628" s="2"/>
      <c r="C628" s="2" t="s">
        <v>21</v>
      </c>
      <c r="AZ628" s="3"/>
      <c r="BA628" s="3"/>
      <c r="BB628" s="3"/>
      <c r="BC628" s="3"/>
    </row>
    <row r="629" spans="1:56" ht="12.9" customHeight="1">
      <c r="A629" s="2"/>
      <c r="B629" s="2"/>
      <c r="C629" s="2"/>
      <c r="AZ629" s="3"/>
      <c r="BA629" s="3"/>
      <c r="BB629" s="3"/>
      <c r="BC629" s="3"/>
    </row>
    <row r="630" spans="1:56" ht="12.9" customHeight="1">
      <c r="C630" s="2" t="s">
        <v>2054</v>
      </c>
      <c r="AZ630" s="3"/>
      <c r="BA630" s="3"/>
      <c r="BB630" s="3"/>
      <c r="BC630" s="3"/>
    </row>
    <row r="631" spans="1:56" ht="12.9" customHeight="1">
      <c r="B631" s="512"/>
      <c r="C631" s="2"/>
      <c r="AU631" s="3"/>
      <c r="AZ631" s="3"/>
      <c r="BA631" s="3"/>
      <c r="BB631" s="3"/>
      <c r="BC631" s="3"/>
    </row>
    <row r="632" spans="1:56" ht="12.9" customHeight="1">
      <c r="B632" s="1709" t="s">
        <v>2056</v>
      </c>
      <c r="C632" s="1709"/>
      <c r="D632" s="1709"/>
      <c r="E632" s="1709"/>
      <c r="F632" s="1709"/>
      <c r="G632" s="1709"/>
      <c r="H632" s="1709"/>
      <c r="I632" s="1709"/>
      <c r="J632" s="1709"/>
      <c r="K632" s="1709"/>
      <c r="L632" s="1709"/>
      <c r="M632" s="1484" t="s">
        <v>2057</v>
      </c>
      <c r="N632" s="1484"/>
      <c r="O632" s="1484"/>
      <c r="P632" s="1484"/>
      <c r="Q632" s="1484" t="s">
        <v>1827</v>
      </c>
      <c r="R632" s="1484"/>
      <c r="S632" s="1484"/>
      <c r="T632" s="1484" t="s">
        <v>1825</v>
      </c>
      <c r="U632" s="1484"/>
      <c r="V632" s="1484"/>
      <c r="W632" s="1707" t="s">
        <v>453</v>
      </c>
      <c r="X632" s="1707"/>
      <c r="Y632" s="1707"/>
      <c r="Z632" s="1512" t="s">
        <v>2086</v>
      </c>
      <c r="AA632" s="1512"/>
      <c r="AB632" s="1513"/>
      <c r="AC632" s="1710" t="s">
        <v>1664</v>
      </c>
      <c r="AD632" s="1711"/>
      <c r="AE632" s="1712"/>
      <c r="AF632" s="1702" t="s">
        <v>1902</v>
      </c>
      <c r="AG632" s="1512"/>
      <c r="AH632" s="1512"/>
      <c r="AI632" s="1512"/>
      <c r="AJ632" s="1513"/>
      <c r="AK632" s="1489" t="s">
        <v>1903</v>
      </c>
      <c r="AL632" s="1490"/>
      <c r="AM632" s="1490"/>
      <c r="AN632" s="1491"/>
      <c r="AO632" s="1484" t="s">
        <v>454</v>
      </c>
      <c r="AP632" s="1484"/>
      <c r="AQ632" s="1484"/>
      <c r="AR632" s="1484"/>
      <c r="AS632" s="1484"/>
      <c r="AU632" s="3"/>
      <c r="AZ632" s="3"/>
      <c r="BA632" s="3"/>
      <c r="BB632" s="3"/>
      <c r="BC632" s="3"/>
    </row>
    <row r="633" spans="1:56" ht="12.9" customHeight="1">
      <c r="B633" s="1709"/>
      <c r="C633" s="1709"/>
      <c r="D633" s="1709"/>
      <c r="E633" s="1709"/>
      <c r="F633" s="1709"/>
      <c r="G633" s="1709"/>
      <c r="H633" s="1709"/>
      <c r="I633" s="1709"/>
      <c r="J633" s="1709"/>
      <c r="K633" s="1709"/>
      <c r="L633" s="1709"/>
      <c r="M633" s="1484"/>
      <c r="N633" s="1484"/>
      <c r="O633" s="1484"/>
      <c r="P633" s="1484"/>
      <c r="Q633" s="1484"/>
      <c r="R633" s="1484"/>
      <c r="S633" s="1484"/>
      <c r="T633" s="1484"/>
      <c r="U633" s="1484"/>
      <c r="V633" s="1484"/>
      <c r="W633" s="1707"/>
      <c r="X633" s="1707"/>
      <c r="Y633" s="1707"/>
      <c r="Z633" s="1514"/>
      <c r="AA633" s="1514"/>
      <c r="AB633" s="1515"/>
      <c r="AC633" s="1713"/>
      <c r="AD633" s="1714"/>
      <c r="AE633" s="1715"/>
      <c r="AF633" s="1703"/>
      <c r="AG633" s="1514"/>
      <c r="AH633" s="1514"/>
      <c r="AI633" s="1514"/>
      <c r="AJ633" s="1515"/>
      <c r="AK633" s="1492"/>
      <c r="AL633" s="1493"/>
      <c r="AM633" s="1493"/>
      <c r="AN633" s="1494"/>
      <c r="AO633" s="1484"/>
      <c r="AP633" s="1484"/>
      <c r="AQ633" s="1484"/>
      <c r="AR633" s="1484"/>
      <c r="AS633" s="1484"/>
      <c r="AU633" s="3"/>
      <c r="AZ633" s="3"/>
      <c r="BA633" s="3"/>
      <c r="BB633" s="3"/>
      <c r="BC633" s="3"/>
      <c r="BD633" s="3"/>
    </row>
    <row r="634" spans="1:56" ht="12.9" customHeight="1">
      <c r="B634" s="1709"/>
      <c r="C634" s="1709"/>
      <c r="D634" s="1709"/>
      <c r="E634" s="1709"/>
      <c r="F634" s="1709"/>
      <c r="G634" s="1709"/>
      <c r="H634" s="1709"/>
      <c r="I634" s="1709"/>
      <c r="J634" s="1709"/>
      <c r="K634" s="1709"/>
      <c r="L634" s="1709"/>
      <c r="M634" s="1484"/>
      <c r="N634" s="1484"/>
      <c r="O634" s="1484"/>
      <c r="P634" s="1484"/>
      <c r="Q634" s="1484"/>
      <c r="R634" s="1484"/>
      <c r="S634" s="1484"/>
      <c r="T634" s="1484"/>
      <c r="U634" s="1484"/>
      <c r="V634" s="1484"/>
      <c r="W634" s="1707"/>
      <c r="X634" s="1707"/>
      <c r="Y634" s="1707"/>
      <c r="Z634" s="1516"/>
      <c r="AA634" s="1516"/>
      <c r="AB634" s="1517"/>
      <c r="AC634" s="1716"/>
      <c r="AD634" s="1717"/>
      <c r="AE634" s="1718"/>
      <c r="AF634" s="1704"/>
      <c r="AG634" s="1516"/>
      <c r="AH634" s="1516"/>
      <c r="AI634" s="1516"/>
      <c r="AJ634" s="1517"/>
      <c r="AK634" s="1495"/>
      <c r="AL634" s="1496"/>
      <c r="AM634" s="1496"/>
      <c r="AN634" s="1497"/>
      <c r="AO634" s="1484"/>
      <c r="AP634" s="1484"/>
      <c r="AQ634" s="1484"/>
      <c r="AR634" s="1484"/>
      <c r="AS634" s="1484"/>
      <c r="AT634" s="3"/>
      <c r="AU634" s="3"/>
      <c r="AZ634" s="3"/>
      <c r="BA634" s="3"/>
      <c r="BB634" s="3"/>
      <c r="BC634" s="3"/>
      <c r="BD634" s="3"/>
    </row>
    <row r="635" spans="1:56" ht="12.9" customHeight="1">
      <c r="B635" s="51" t="s">
        <v>112</v>
      </c>
      <c r="C635" s="1482" t="s">
        <v>2735</v>
      </c>
      <c r="D635" s="1482"/>
      <c r="E635" s="1482"/>
      <c r="F635" s="1482"/>
      <c r="G635" s="1482"/>
      <c r="H635" s="1482"/>
      <c r="I635" s="1482"/>
      <c r="J635" s="1482"/>
      <c r="K635" s="1482"/>
      <c r="L635" s="1482"/>
      <c r="M635" s="1483" t="s">
        <v>2067</v>
      </c>
      <c r="N635" s="1483"/>
      <c r="O635" s="1483"/>
      <c r="P635" s="1483"/>
      <c r="Q635" s="1480">
        <f>17*12</f>
        <v>204</v>
      </c>
      <c r="R635" s="1480"/>
      <c r="S635" s="1481"/>
      <c r="T635" s="1479">
        <v>420</v>
      </c>
      <c r="U635" s="1480"/>
      <c r="V635" s="1481"/>
      <c r="W635" s="1518">
        <v>6.4000000000000001E-2</v>
      </c>
      <c r="X635" s="1519"/>
      <c r="Y635" s="1520"/>
      <c r="Z635" s="1486" t="s">
        <v>2085</v>
      </c>
      <c r="AA635" s="1487"/>
      <c r="AB635" s="1488"/>
      <c r="AC635" s="1534">
        <v>1</v>
      </c>
      <c r="AD635" s="1535"/>
      <c r="AE635" s="1536"/>
      <c r="AF635" s="1450">
        <v>687563</v>
      </c>
      <c r="AG635" s="1451"/>
      <c r="AH635" s="1451"/>
      <c r="AI635" s="1451"/>
      <c r="AJ635" s="1452"/>
      <c r="AK635" s="1470"/>
      <c r="AL635" s="1471"/>
      <c r="AM635" s="1471"/>
      <c r="AN635" s="1472"/>
      <c r="AO635" s="1454">
        <v>9592646</v>
      </c>
      <c r="AP635" s="1454"/>
      <c r="AQ635" s="1454"/>
      <c r="AR635" s="1454"/>
      <c r="AS635" s="1454"/>
      <c r="AT635" s="3"/>
      <c r="AU635" s="3"/>
      <c r="AZ635" s="3"/>
      <c r="BA635" s="3"/>
      <c r="BB635" s="3"/>
      <c r="BC635" s="3"/>
      <c r="BD635" s="3"/>
    </row>
    <row r="636" spans="1:56" ht="12.9" customHeight="1">
      <c r="B636" s="52" t="s">
        <v>113</v>
      </c>
      <c r="C636" s="1482" t="s">
        <v>2699</v>
      </c>
      <c r="D636" s="1482"/>
      <c r="E636" s="1482"/>
      <c r="F636" s="1482"/>
      <c r="G636" s="1482"/>
      <c r="H636" s="1482"/>
      <c r="I636" s="1482"/>
      <c r="J636" s="1482"/>
      <c r="K636" s="1482"/>
      <c r="L636" s="1482"/>
      <c r="M636" s="1483" t="s">
        <v>2069</v>
      </c>
      <c r="N636" s="1483"/>
      <c r="O636" s="1483"/>
      <c r="P636" s="1483"/>
      <c r="Q636" s="1479">
        <f>57*12</f>
        <v>684</v>
      </c>
      <c r="R636" s="1480"/>
      <c r="S636" s="1481"/>
      <c r="T636" s="1479"/>
      <c r="U636" s="1480"/>
      <c r="V636" s="1481"/>
      <c r="W636" s="1518">
        <v>0</v>
      </c>
      <c r="X636" s="1519"/>
      <c r="Y636" s="1520"/>
      <c r="Z636" s="1486" t="s">
        <v>457</v>
      </c>
      <c r="AA636" s="1487"/>
      <c r="AB636" s="1488"/>
      <c r="AC636" s="1534">
        <v>2</v>
      </c>
      <c r="AD636" s="1535"/>
      <c r="AE636" s="1536"/>
      <c r="AF636" s="1450"/>
      <c r="AG636" s="1451"/>
      <c r="AH636" s="1451"/>
      <c r="AI636" s="1451"/>
      <c r="AJ636" s="1452"/>
      <c r="AK636" s="1470"/>
      <c r="AL636" s="1471"/>
      <c r="AM636" s="1471"/>
      <c r="AN636" s="1472"/>
      <c r="AO636" s="1457">
        <v>8010000</v>
      </c>
      <c r="AP636" s="1458"/>
      <c r="AQ636" s="1458"/>
      <c r="AR636" s="1458"/>
      <c r="AS636" s="1459"/>
      <c r="AT636" s="1142" t="str">
        <f>IF(AND(NOT(C635=""),C636="",NOT(C637="")),"!","")</f>
        <v/>
      </c>
      <c r="AU636" s="3"/>
      <c r="AZ636" s="3"/>
      <c r="BA636" s="3"/>
      <c r="BB636" s="3"/>
      <c r="BC636" s="3"/>
      <c r="BD636" s="3"/>
    </row>
    <row r="637" spans="1:56" ht="12.9" customHeight="1">
      <c r="B637" s="52" t="s">
        <v>119</v>
      </c>
      <c r="C637" s="1482" t="s">
        <v>2711</v>
      </c>
      <c r="D637" s="1482"/>
      <c r="E637" s="1482"/>
      <c r="F637" s="1482"/>
      <c r="G637" s="1482"/>
      <c r="H637" s="1482"/>
      <c r="I637" s="1482"/>
      <c r="J637" s="1482"/>
      <c r="K637" s="1482"/>
      <c r="L637" s="1482"/>
      <c r="M637" s="1483" t="s">
        <v>2069</v>
      </c>
      <c r="N637" s="1483"/>
      <c r="O637" s="1483"/>
      <c r="P637" s="1483"/>
      <c r="Q637" s="1479">
        <f>57*12</f>
        <v>684</v>
      </c>
      <c r="R637" s="1480"/>
      <c r="S637" s="1481"/>
      <c r="T637" s="1479"/>
      <c r="U637" s="1480"/>
      <c r="V637" s="1481"/>
      <c r="W637" s="1518">
        <v>0.03</v>
      </c>
      <c r="X637" s="1519"/>
      <c r="Y637" s="1520"/>
      <c r="Z637" s="1486" t="s">
        <v>457</v>
      </c>
      <c r="AA637" s="1487"/>
      <c r="AB637" s="1488"/>
      <c r="AC637" s="1534">
        <v>3</v>
      </c>
      <c r="AD637" s="1535"/>
      <c r="AE637" s="1536"/>
      <c r="AF637" s="1450"/>
      <c r="AG637" s="1451"/>
      <c r="AH637" s="1451"/>
      <c r="AI637" s="1451"/>
      <c r="AJ637" s="1452"/>
      <c r="AK637" s="1470"/>
      <c r="AL637" s="1471"/>
      <c r="AM637" s="1471"/>
      <c r="AN637" s="1472"/>
      <c r="AO637" s="1457">
        <v>8370000</v>
      </c>
      <c r="AP637" s="1458"/>
      <c r="AQ637" s="1458"/>
      <c r="AR637" s="1458"/>
      <c r="AS637" s="1459"/>
      <c r="AT637" s="1142" t="str">
        <f t="shared" ref="AT637:AT646" si="4">IF(AND(NOT(C636=""),C637="",NOT(C638="")),"!","")</f>
        <v/>
      </c>
      <c r="AU637" s="3"/>
      <c r="AZ637" s="3"/>
      <c r="BA637" s="3"/>
      <c r="BB637" s="3"/>
      <c r="BC637" s="3"/>
      <c r="BD637" s="3"/>
    </row>
    <row r="638" spans="1:56" ht="12.9" customHeight="1">
      <c r="B638" s="52" t="s">
        <v>581</v>
      </c>
      <c r="C638" s="1482" t="s">
        <v>2712</v>
      </c>
      <c r="D638" s="1469"/>
      <c r="E638" s="1469"/>
      <c r="F638" s="1469"/>
      <c r="G638" s="1469"/>
      <c r="H638" s="1469"/>
      <c r="I638" s="1469"/>
      <c r="J638" s="1469"/>
      <c r="K638" s="1469"/>
      <c r="L638" s="1469"/>
      <c r="M638" s="1483" t="s">
        <v>2061</v>
      </c>
      <c r="N638" s="1483"/>
      <c r="O638" s="1483"/>
      <c r="P638" s="1483"/>
      <c r="Q638" s="1479"/>
      <c r="R638" s="1480"/>
      <c r="S638" s="1481"/>
      <c r="T638" s="1479"/>
      <c r="U638" s="1480"/>
      <c r="V638" s="1481"/>
      <c r="W638" s="1518"/>
      <c r="X638" s="1519"/>
      <c r="Y638" s="1520"/>
      <c r="Z638" s="1486" t="s">
        <v>1183</v>
      </c>
      <c r="AA638" s="1487"/>
      <c r="AB638" s="1488"/>
      <c r="AC638" s="1534"/>
      <c r="AD638" s="1535"/>
      <c r="AE638" s="1536"/>
      <c r="AF638" s="1450"/>
      <c r="AG638" s="1451"/>
      <c r="AH638" s="1451"/>
      <c r="AI638" s="1451"/>
      <c r="AJ638" s="1452"/>
      <c r="AK638" s="1470"/>
      <c r="AL638" s="1471"/>
      <c r="AM638" s="1471"/>
      <c r="AN638" s="1472"/>
      <c r="AO638" s="1457">
        <v>1200000</v>
      </c>
      <c r="AP638" s="1458"/>
      <c r="AQ638" s="1458"/>
      <c r="AR638" s="1458"/>
      <c r="AS638" s="1459"/>
      <c r="AT638" s="1142" t="str">
        <f t="shared" si="4"/>
        <v/>
      </c>
      <c r="AU638" s="3"/>
      <c r="AZ638" s="3"/>
      <c r="BA638" s="3"/>
      <c r="BB638" s="3"/>
      <c r="BC638" s="3"/>
      <c r="BD638" s="3"/>
    </row>
    <row r="639" spans="1:56" ht="12.9" customHeight="1">
      <c r="B639" s="52" t="s">
        <v>763</v>
      </c>
      <c r="C639" s="1482"/>
      <c r="D639" s="1469"/>
      <c r="E639" s="1469"/>
      <c r="F639" s="1469"/>
      <c r="G639" s="1469"/>
      <c r="H639" s="1469"/>
      <c r="I639" s="1469"/>
      <c r="J639" s="1469"/>
      <c r="K639" s="1469"/>
      <c r="L639" s="1469"/>
      <c r="M639" s="1483" t="s">
        <v>1183</v>
      </c>
      <c r="N639" s="1483"/>
      <c r="O639" s="1483"/>
      <c r="P639" s="1483"/>
      <c r="Q639" s="1479"/>
      <c r="R639" s="1480"/>
      <c r="S639" s="1481"/>
      <c r="T639" s="1479"/>
      <c r="U639" s="1480"/>
      <c r="V639" s="1481"/>
      <c r="W639" s="1518"/>
      <c r="X639" s="1519"/>
      <c r="Y639" s="1520"/>
      <c r="Z639" s="1486" t="s">
        <v>1183</v>
      </c>
      <c r="AA639" s="1487"/>
      <c r="AB639" s="1488"/>
      <c r="AC639" s="1534"/>
      <c r="AD639" s="1535"/>
      <c r="AE639" s="1536"/>
      <c r="AF639" s="1450"/>
      <c r="AG639" s="1451"/>
      <c r="AH639" s="1451"/>
      <c r="AI639" s="1451"/>
      <c r="AJ639" s="1452"/>
      <c r="AK639" s="1470"/>
      <c r="AL639" s="1471"/>
      <c r="AM639" s="1471"/>
      <c r="AN639" s="1472"/>
      <c r="AO639" s="1457"/>
      <c r="AP639" s="1458"/>
      <c r="AQ639" s="1458"/>
      <c r="AR639" s="1458"/>
      <c r="AS639" s="1459"/>
      <c r="AT639" s="1142" t="str">
        <f t="shared" si="4"/>
        <v/>
      </c>
      <c r="AU639" s="3"/>
      <c r="AZ639" s="3"/>
      <c r="BA639" s="3"/>
      <c r="BB639" s="3"/>
      <c r="BC639" s="3"/>
      <c r="BD639" s="3"/>
    </row>
    <row r="640" spans="1:56" ht="12.9" customHeight="1">
      <c r="B640" s="52" t="s">
        <v>584</v>
      </c>
      <c r="C640" s="1469"/>
      <c r="D640" s="1469"/>
      <c r="E640" s="1469"/>
      <c r="F640" s="1469"/>
      <c r="G640" s="1469"/>
      <c r="H640" s="1469"/>
      <c r="I640" s="1469"/>
      <c r="J640" s="1469"/>
      <c r="K640" s="1469"/>
      <c r="L640" s="1469"/>
      <c r="M640" s="1483" t="s">
        <v>1183</v>
      </c>
      <c r="N640" s="1483"/>
      <c r="O640" s="1483"/>
      <c r="P640" s="1483"/>
      <c r="Q640" s="1479"/>
      <c r="R640" s="1480"/>
      <c r="S640" s="1481"/>
      <c r="T640" s="1479"/>
      <c r="U640" s="1480"/>
      <c r="V640" s="1481"/>
      <c r="W640" s="1518"/>
      <c r="X640" s="1519"/>
      <c r="Y640" s="1520"/>
      <c r="Z640" s="1486" t="s">
        <v>1183</v>
      </c>
      <c r="AA640" s="1487"/>
      <c r="AB640" s="1488"/>
      <c r="AC640" s="1534"/>
      <c r="AD640" s="1535"/>
      <c r="AE640" s="1536"/>
      <c r="AF640" s="1450"/>
      <c r="AG640" s="1451"/>
      <c r="AH640" s="1451"/>
      <c r="AI640" s="1451"/>
      <c r="AJ640" s="1452"/>
      <c r="AK640" s="1470"/>
      <c r="AL640" s="1471"/>
      <c r="AM640" s="1471"/>
      <c r="AN640" s="1472"/>
      <c r="AO640" s="1457"/>
      <c r="AP640" s="1458"/>
      <c r="AQ640" s="1458"/>
      <c r="AR640" s="1458"/>
      <c r="AS640" s="1459"/>
      <c r="AT640" s="1142" t="str">
        <f t="shared" si="4"/>
        <v/>
      </c>
      <c r="AU640" s="3"/>
      <c r="AZ640" s="3"/>
      <c r="BA640" s="3"/>
      <c r="BB640" s="3"/>
      <c r="BC640" s="3"/>
      <c r="BD640" s="3"/>
    </row>
    <row r="641" spans="1:157" ht="12.9" customHeight="1">
      <c r="B641" s="52" t="s">
        <v>455</v>
      </c>
      <c r="C641" s="1469"/>
      <c r="D641" s="1469"/>
      <c r="E641" s="1469"/>
      <c r="F641" s="1469"/>
      <c r="G641" s="1469"/>
      <c r="H641" s="1469"/>
      <c r="I641" s="1469"/>
      <c r="J641" s="1469"/>
      <c r="K641" s="1469"/>
      <c r="L641" s="1469"/>
      <c r="M641" s="1483" t="s">
        <v>1183</v>
      </c>
      <c r="N641" s="1483"/>
      <c r="O641" s="1483"/>
      <c r="P641" s="1483"/>
      <c r="Q641" s="1479"/>
      <c r="R641" s="1480"/>
      <c r="S641" s="1481"/>
      <c r="T641" s="1479"/>
      <c r="U641" s="1480"/>
      <c r="V641" s="1481"/>
      <c r="W641" s="1518"/>
      <c r="X641" s="1519"/>
      <c r="Y641" s="1520"/>
      <c r="Z641" s="1486" t="s">
        <v>1183</v>
      </c>
      <c r="AA641" s="1487"/>
      <c r="AB641" s="1488"/>
      <c r="AC641" s="1534"/>
      <c r="AD641" s="1535"/>
      <c r="AE641" s="1536"/>
      <c r="AF641" s="1450"/>
      <c r="AG641" s="1451"/>
      <c r="AH641" s="1451"/>
      <c r="AI641" s="1451"/>
      <c r="AJ641" s="1452"/>
      <c r="AK641" s="1470"/>
      <c r="AL641" s="1471"/>
      <c r="AM641" s="1471"/>
      <c r="AN641" s="1472"/>
      <c r="AO641" s="1457"/>
      <c r="AP641" s="1458"/>
      <c r="AQ641" s="1458"/>
      <c r="AR641" s="1458"/>
      <c r="AS641" s="1459"/>
      <c r="AT641" s="1142" t="str">
        <f t="shared" si="4"/>
        <v/>
      </c>
      <c r="AU641" s="3"/>
      <c r="AV641" s="3"/>
      <c r="AW641" s="3"/>
      <c r="AX641" s="3"/>
      <c r="AY641" s="3"/>
      <c r="AZ641" s="3"/>
      <c r="BA641" s="3"/>
      <c r="BB641" s="3"/>
      <c r="BC641" s="3"/>
      <c r="BD641" s="3"/>
    </row>
    <row r="642" spans="1:157" ht="12.9" customHeight="1">
      <c r="B642" s="52" t="s">
        <v>456</v>
      </c>
      <c r="C642" s="1469"/>
      <c r="D642" s="1469"/>
      <c r="E642" s="1469"/>
      <c r="F642" s="1469"/>
      <c r="G642" s="1469"/>
      <c r="H642" s="1469"/>
      <c r="I642" s="1469"/>
      <c r="J642" s="1469"/>
      <c r="K642" s="1469"/>
      <c r="L642" s="1469"/>
      <c r="M642" s="1483" t="s">
        <v>1183</v>
      </c>
      <c r="N642" s="1483"/>
      <c r="O642" s="1483"/>
      <c r="P642" s="1483"/>
      <c r="Q642" s="1479"/>
      <c r="R642" s="1480"/>
      <c r="S642" s="1481"/>
      <c r="T642" s="1479"/>
      <c r="U642" s="1480"/>
      <c r="V642" s="1481"/>
      <c r="W642" s="1518"/>
      <c r="X642" s="1519"/>
      <c r="Y642" s="1520"/>
      <c r="Z642" s="1486" t="s">
        <v>1183</v>
      </c>
      <c r="AA642" s="1487"/>
      <c r="AB642" s="1488"/>
      <c r="AC642" s="1534"/>
      <c r="AD642" s="1535"/>
      <c r="AE642" s="1536"/>
      <c r="AF642" s="1450"/>
      <c r="AG642" s="1451"/>
      <c r="AH642" s="1451"/>
      <c r="AI642" s="1451"/>
      <c r="AJ642" s="1452"/>
      <c r="AK642" s="1470"/>
      <c r="AL642" s="1471"/>
      <c r="AM642" s="1471"/>
      <c r="AN642" s="1472"/>
      <c r="AO642" s="1457"/>
      <c r="AP642" s="1458"/>
      <c r="AQ642" s="1458"/>
      <c r="AR642" s="1458"/>
      <c r="AS642" s="1459"/>
      <c r="AT642" s="1142" t="str">
        <f t="shared" si="4"/>
        <v/>
      </c>
      <c r="AU642" s="3"/>
      <c r="AV642" s="3"/>
      <c r="AW642" s="3"/>
      <c r="AX642" s="3"/>
      <c r="AY642" s="3"/>
      <c r="AZ642" s="3"/>
      <c r="BA642" s="3" t="s">
        <v>1183</v>
      </c>
      <c r="BB642" s="3"/>
      <c r="BC642" s="3"/>
      <c r="BD642" s="3"/>
    </row>
    <row r="643" spans="1:157" ht="12.9" customHeight="1">
      <c r="B643" s="52" t="s">
        <v>461</v>
      </c>
      <c r="C643" s="1469"/>
      <c r="D643" s="1469"/>
      <c r="E643" s="1469"/>
      <c r="F643" s="1469"/>
      <c r="G643" s="1469"/>
      <c r="H643" s="1469"/>
      <c r="I643" s="1469"/>
      <c r="J643" s="1469"/>
      <c r="K643" s="1469"/>
      <c r="L643" s="1469"/>
      <c r="M643" s="1483" t="s">
        <v>1183</v>
      </c>
      <c r="N643" s="1483"/>
      <c r="O643" s="1483"/>
      <c r="P643" s="1483"/>
      <c r="Q643" s="1479"/>
      <c r="R643" s="1480"/>
      <c r="S643" s="1481"/>
      <c r="T643" s="1479"/>
      <c r="U643" s="1480"/>
      <c r="V643" s="1481"/>
      <c r="W643" s="1518"/>
      <c r="X643" s="1519"/>
      <c r="Y643" s="1520"/>
      <c r="Z643" s="1486" t="s">
        <v>1183</v>
      </c>
      <c r="AA643" s="1487"/>
      <c r="AB643" s="1488"/>
      <c r="AC643" s="1534"/>
      <c r="AD643" s="1535"/>
      <c r="AE643" s="1536"/>
      <c r="AF643" s="1450"/>
      <c r="AG643" s="1451"/>
      <c r="AH643" s="1451"/>
      <c r="AI643" s="1451"/>
      <c r="AJ643" s="1452"/>
      <c r="AK643" s="1470"/>
      <c r="AL643" s="1471"/>
      <c r="AM643" s="1471"/>
      <c r="AN643" s="1472"/>
      <c r="AO643" s="1457"/>
      <c r="AP643" s="1458"/>
      <c r="AQ643" s="1458"/>
      <c r="AR643" s="1458"/>
      <c r="AS643" s="1459"/>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3">
        <f t="shared" ref="DX643:DX677" si="5">EZ726*(CP726/$CP$761)</f>
        <v>795</v>
      </c>
      <c r="DY643" s="1533"/>
      <c r="DZ643" s="1533"/>
      <c r="EA643" s="1533"/>
      <c r="EB643" s="1533"/>
      <c r="EC643" s="1533" t="e">
        <f t="shared" ref="EC643:EC677" si="6">FE726*(CU726/$CU$761)</f>
        <v>#VALUE!</v>
      </c>
      <c r="ED643" s="1533"/>
      <c r="EE643" s="1533"/>
      <c r="EF643" s="1533"/>
      <c r="EG643" s="1533"/>
      <c r="EH643" s="1533" t="e">
        <f t="shared" ref="EH643:EH677" si="7">FJ726*(CZ726/$CZ$761)</f>
        <v>#VALUE!</v>
      </c>
      <c r="EI643" s="1533"/>
      <c r="EJ643" s="1533"/>
      <c r="EK643" s="1533"/>
      <c r="EL643" s="1533"/>
      <c r="EM643" s="1533" t="e">
        <f t="shared" ref="EM643:EM677" si="8">FO726*(DE726/$DE$761)</f>
        <v>#VALUE!</v>
      </c>
      <c r="EN643" s="1533"/>
      <c r="EO643" s="1533"/>
      <c r="EP643" s="1533"/>
      <c r="EQ643" s="1533"/>
      <c r="ER643" s="1533" t="e">
        <f t="shared" ref="ER643:ER677" si="9">FT726*(DJ726/$DJ$761)</f>
        <v>#VALUE!</v>
      </c>
      <c r="ES643" s="1533"/>
      <c r="ET643" s="1533"/>
      <c r="EU643" s="1533"/>
      <c r="EV643" s="1533"/>
      <c r="EW643" s="1533" t="e">
        <f t="shared" ref="EW643:EW677" si="10">FY726*(DO726/$DO$761)</f>
        <v>#VALUE!</v>
      </c>
      <c r="EX643" s="1533"/>
      <c r="EY643" s="1533"/>
      <c r="EZ643" s="1533"/>
      <c r="FA643" s="1533"/>
    </row>
    <row r="644" spans="1:157" ht="12.9" customHeight="1">
      <c r="B644" s="52" t="s">
        <v>646</v>
      </c>
      <c r="C644" s="1469"/>
      <c r="D644" s="1469"/>
      <c r="E644" s="1469"/>
      <c r="F644" s="1469"/>
      <c r="G644" s="1469"/>
      <c r="H644" s="1469"/>
      <c r="I644" s="1469"/>
      <c r="J644" s="1469"/>
      <c r="K644" s="1469"/>
      <c r="L644" s="1469"/>
      <c r="M644" s="1483" t="s">
        <v>1183</v>
      </c>
      <c r="N644" s="1483"/>
      <c r="O644" s="1483"/>
      <c r="P644" s="1483"/>
      <c r="Q644" s="1479"/>
      <c r="R644" s="1480"/>
      <c r="S644" s="1481"/>
      <c r="T644" s="1479"/>
      <c r="U644" s="1480"/>
      <c r="V644" s="1481"/>
      <c r="W644" s="1518"/>
      <c r="X644" s="1519"/>
      <c r="Y644" s="1520"/>
      <c r="Z644" s="1486" t="s">
        <v>1183</v>
      </c>
      <c r="AA644" s="1487"/>
      <c r="AB644" s="1488"/>
      <c r="AC644" s="1534"/>
      <c r="AD644" s="1535"/>
      <c r="AE644" s="1536"/>
      <c r="AF644" s="1450"/>
      <c r="AG644" s="1451"/>
      <c r="AH644" s="1451"/>
      <c r="AI644" s="1451"/>
      <c r="AJ644" s="1452"/>
      <c r="AK644" s="1470"/>
      <c r="AL644" s="1471"/>
      <c r="AM644" s="1471"/>
      <c r="AN644" s="1472"/>
      <c r="AO644" s="1457"/>
      <c r="AP644" s="1458"/>
      <c r="AQ644" s="1458"/>
      <c r="AR644" s="1458"/>
      <c r="AS644" s="1459"/>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3" t="e">
        <f t="shared" si="5"/>
        <v>#VALUE!</v>
      </c>
      <c r="DY644" s="1533"/>
      <c r="DZ644" s="1533"/>
      <c r="EA644" s="1533"/>
      <c r="EB644" s="1533"/>
      <c r="EC644" s="1533">
        <f t="shared" si="6"/>
        <v>90.638297872340431</v>
      </c>
      <c r="ED644" s="1533"/>
      <c r="EE644" s="1533"/>
      <c r="EF644" s="1533"/>
      <c r="EG644" s="1533"/>
      <c r="EH644" s="1533" t="e">
        <f t="shared" si="7"/>
        <v>#VALUE!</v>
      </c>
      <c r="EI644" s="1533"/>
      <c r="EJ644" s="1533"/>
      <c r="EK644" s="1533"/>
      <c r="EL644" s="1533"/>
      <c r="EM644" s="1533" t="e">
        <f t="shared" si="8"/>
        <v>#VALUE!</v>
      </c>
      <c r="EN644" s="1533"/>
      <c r="EO644" s="1533"/>
      <c r="EP644" s="1533"/>
      <c r="EQ644" s="1533"/>
      <c r="ER644" s="1533" t="e">
        <f t="shared" si="9"/>
        <v>#VALUE!</v>
      </c>
      <c r="ES644" s="1533"/>
      <c r="ET644" s="1533"/>
      <c r="EU644" s="1533"/>
      <c r="EV644" s="1533"/>
      <c r="EW644" s="1533" t="e">
        <f t="shared" si="10"/>
        <v>#VALUE!</v>
      </c>
      <c r="EX644" s="1533"/>
      <c r="EY644" s="1533"/>
      <c r="EZ644" s="1533"/>
      <c r="FA644" s="1533"/>
    </row>
    <row r="645" spans="1:157" ht="12.9" customHeight="1">
      <c r="B645" s="52" t="s">
        <v>362</v>
      </c>
      <c r="C645" s="1469"/>
      <c r="D645" s="1469"/>
      <c r="E645" s="1469"/>
      <c r="F645" s="1469"/>
      <c r="G645" s="1469"/>
      <c r="H645" s="1469"/>
      <c r="I645" s="1469"/>
      <c r="J645" s="1469"/>
      <c r="K645" s="1469"/>
      <c r="L645" s="1469"/>
      <c r="M645" s="1483" t="s">
        <v>1183</v>
      </c>
      <c r="N645" s="1483"/>
      <c r="O645" s="1483"/>
      <c r="P645" s="1483"/>
      <c r="Q645" s="1479"/>
      <c r="R645" s="1480"/>
      <c r="S645" s="1481"/>
      <c r="T645" s="1479"/>
      <c r="U645" s="1480"/>
      <c r="V645" s="1481"/>
      <c r="W645" s="1518"/>
      <c r="X645" s="1519"/>
      <c r="Y645" s="1520"/>
      <c r="Z645" s="1486" t="s">
        <v>1183</v>
      </c>
      <c r="AA645" s="1487"/>
      <c r="AB645" s="1488"/>
      <c r="AC645" s="1534"/>
      <c r="AD645" s="1535"/>
      <c r="AE645" s="1536"/>
      <c r="AF645" s="1450"/>
      <c r="AG645" s="1451"/>
      <c r="AH645" s="1451"/>
      <c r="AI645" s="1451"/>
      <c r="AJ645" s="1452"/>
      <c r="AK645" s="1470"/>
      <c r="AL645" s="1471"/>
      <c r="AM645" s="1471"/>
      <c r="AN645" s="1472"/>
      <c r="AO645" s="1457"/>
      <c r="AP645" s="1458"/>
      <c r="AQ645" s="1458"/>
      <c r="AR645" s="1458"/>
      <c r="AS645" s="1459"/>
      <c r="AT645" s="1142" t="str">
        <f t="shared" si="4"/>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533" t="e">
        <f t="shared" si="5"/>
        <v>#VALUE!</v>
      </c>
      <c r="DY645" s="1533"/>
      <c r="DZ645" s="1533"/>
      <c r="EA645" s="1533"/>
      <c r="EB645" s="1533"/>
      <c r="EC645" s="1533">
        <f t="shared" si="6"/>
        <v>761.36170212765956</v>
      </c>
      <c r="ED645" s="1533"/>
      <c r="EE645" s="1533"/>
      <c r="EF645" s="1533"/>
      <c r="EG645" s="1533"/>
      <c r="EH645" s="1533" t="e">
        <f t="shared" si="7"/>
        <v>#VALUE!</v>
      </c>
      <c r="EI645" s="1533"/>
      <c r="EJ645" s="1533"/>
      <c r="EK645" s="1533"/>
      <c r="EL645" s="1533"/>
      <c r="EM645" s="1533" t="e">
        <f t="shared" si="8"/>
        <v>#VALUE!</v>
      </c>
      <c r="EN645" s="1533"/>
      <c r="EO645" s="1533"/>
      <c r="EP645" s="1533"/>
      <c r="EQ645" s="1533"/>
      <c r="ER645" s="1533" t="e">
        <f t="shared" si="9"/>
        <v>#VALUE!</v>
      </c>
      <c r="ES645" s="1533"/>
      <c r="ET645" s="1533"/>
      <c r="EU645" s="1533"/>
      <c r="EV645" s="1533"/>
      <c r="EW645" s="1533" t="e">
        <f t="shared" si="10"/>
        <v>#VALUE!</v>
      </c>
      <c r="EX645" s="1533"/>
      <c r="EY645" s="1533"/>
      <c r="EZ645" s="1533"/>
      <c r="FA645" s="1533"/>
    </row>
    <row r="646" spans="1:157" ht="12.9" customHeight="1">
      <c r="B646" s="52" t="s">
        <v>363</v>
      </c>
      <c r="C646" s="1469"/>
      <c r="D646" s="1469"/>
      <c r="E646" s="1469"/>
      <c r="F646" s="1469"/>
      <c r="G646" s="1469"/>
      <c r="H646" s="1469"/>
      <c r="I646" s="1469"/>
      <c r="J646" s="1469"/>
      <c r="K646" s="1469"/>
      <c r="L646" s="1469"/>
      <c r="M646" s="1483" t="s">
        <v>1183</v>
      </c>
      <c r="N646" s="1483"/>
      <c r="O646" s="1483"/>
      <c r="P646" s="1483"/>
      <c r="Q646" s="1479"/>
      <c r="R646" s="1480"/>
      <c r="S646" s="1481"/>
      <c r="T646" s="1479"/>
      <c r="U646" s="1480"/>
      <c r="V646" s="1481"/>
      <c r="W646" s="1518"/>
      <c r="X646" s="1519"/>
      <c r="Y646" s="1520"/>
      <c r="Z646" s="1486" t="s">
        <v>1183</v>
      </c>
      <c r="AA646" s="1487"/>
      <c r="AB646" s="1488"/>
      <c r="AC646" s="1534"/>
      <c r="AD646" s="1535"/>
      <c r="AE646" s="1536"/>
      <c r="AF646" s="1450"/>
      <c r="AG646" s="1451"/>
      <c r="AH646" s="1451"/>
      <c r="AI646" s="1451"/>
      <c r="AJ646" s="1452"/>
      <c r="AK646" s="1470"/>
      <c r="AL646" s="1471"/>
      <c r="AM646" s="1471"/>
      <c r="AN646" s="1472"/>
      <c r="AO646" s="1457"/>
      <c r="AP646" s="1458"/>
      <c r="AQ646" s="1458"/>
      <c r="AR646" s="1458"/>
      <c r="AS646" s="1459"/>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3" t="e">
        <f t="shared" si="5"/>
        <v>#VALUE!</v>
      </c>
      <c r="DY646" s="1533"/>
      <c r="DZ646" s="1533"/>
      <c r="EA646" s="1533"/>
      <c r="EB646" s="1533"/>
      <c r="EC646" s="1533" t="e">
        <f t="shared" si="6"/>
        <v>#VALUE!</v>
      </c>
      <c r="ED646" s="1533"/>
      <c r="EE646" s="1533"/>
      <c r="EF646" s="1533"/>
      <c r="EG646" s="1533"/>
      <c r="EH646" s="1533">
        <f t="shared" si="7"/>
        <v>204.4</v>
      </c>
      <c r="EI646" s="1533"/>
      <c r="EJ646" s="1533"/>
      <c r="EK646" s="1533"/>
      <c r="EL646" s="1533"/>
      <c r="EM646" s="1533" t="e">
        <f t="shared" si="8"/>
        <v>#VALUE!</v>
      </c>
      <c r="EN646" s="1533"/>
      <c r="EO646" s="1533"/>
      <c r="EP646" s="1533"/>
      <c r="EQ646" s="1533"/>
      <c r="ER646" s="1533" t="e">
        <f t="shared" si="9"/>
        <v>#VALUE!</v>
      </c>
      <c r="ES646" s="1533"/>
      <c r="ET646" s="1533"/>
      <c r="EU646" s="1533"/>
      <c r="EV646" s="1533"/>
      <c r="EW646" s="1533" t="e">
        <f t="shared" si="10"/>
        <v>#VALUE!</v>
      </c>
      <c r="EX646" s="1533"/>
      <c r="EY646" s="1533"/>
      <c r="EZ646" s="1533"/>
      <c r="FA646" s="1533"/>
    </row>
    <row r="647" spans="1:157" ht="12.9"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653">
        <f>SUM(AO635:AR646)</f>
        <v>27172646</v>
      </c>
      <c r="AP647" s="1654"/>
      <c r="AQ647" s="1654"/>
      <c r="AR647" s="1654"/>
      <c r="AS647" s="1655"/>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3" t="e">
        <f t="shared" si="5"/>
        <v>#VALUE!</v>
      </c>
      <c r="DY647" s="1533"/>
      <c r="DZ647" s="1533"/>
      <c r="EA647" s="1533"/>
      <c r="EB647" s="1533"/>
      <c r="EC647" s="1533" t="e">
        <f t="shared" si="6"/>
        <v>#VALUE!</v>
      </c>
      <c r="ED647" s="1533"/>
      <c r="EE647" s="1533"/>
      <c r="EF647" s="1533"/>
      <c r="EG647" s="1533"/>
      <c r="EH647" s="1533">
        <f t="shared" si="7"/>
        <v>817.6</v>
      </c>
      <c r="EI647" s="1533"/>
      <c r="EJ647" s="1533"/>
      <c r="EK647" s="1533"/>
      <c r="EL647" s="1533"/>
      <c r="EM647" s="1533" t="e">
        <f t="shared" si="8"/>
        <v>#VALUE!</v>
      </c>
      <c r="EN647" s="1533"/>
      <c r="EO647" s="1533"/>
      <c r="EP647" s="1533"/>
      <c r="EQ647" s="1533"/>
      <c r="ER647" s="1533" t="e">
        <f t="shared" si="9"/>
        <v>#VALUE!</v>
      </c>
      <c r="ES647" s="1533"/>
      <c r="ET647" s="1533"/>
      <c r="EU647" s="1533"/>
      <c r="EV647" s="1533"/>
      <c r="EW647" s="1533" t="e">
        <f t="shared" si="10"/>
        <v>#VALUE!</v>
      </c>
      <c r="EX647" s="1533"/>
      <c r="EY647" s="1533"/>
      <c r="EZ647" s="1533"/>
      <c r="FA647" s="1533"/>
    </row>
    <row r="648" spans="1:157" ht="12.9" customHeight="1">
      <c r="B648" s="1537" t="s">
        <v>267</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383">
        <v>36692590</v>
      </c>
      <c r="AP648" s="1458"/>
      <c r="AQ648" s="1458"/>
      <c r="AR648" s="1458"/>
      <c r="AS648" s="145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3" t="e">
        <f t="shared" si="5"/>
        <v>#VALUE!</v>
      </c>
      <c r="DY648" s="1533"/>
      <c r="DZ648" s="1533"/>
      <c r="EA648" s="1533"/>
      <c r="EB648" s="1533"/>
      <c r="EC648" s="1533" t="e">
        <f t="shared" si="6"/>
        <v>#VALUE!</v>
      </c>
      <c r="ED648" s="1533"/>
      <c r="EE648" s="1533"/>
      <c r="EF648" s="1533"/>
      <c r="EG648" s="1533"/>
      <c r="EH648" s="1533" t="e">
        <f t="shared" si="7"/>
        <v>#VALUE!</v>
      </c>
      <c r="EI648" s="1533"/>
      <c r="EJ648" s="1533"/>
      <c r="EK648" s="1533"/>
      <c r="EL648" s="1533"/>
      <c r="EM648" s="1533" t="e">
        <f t="shared" si="8"/>
        <v>#VALUE!</v>
      </c>
      <c r="EN648" s="1533"/>
      <c r="EO648" s="1533"/>
      <c r="EP648" s="1533"/>
      <c r="EQ648" s="1533"/>
      <c r="ER648" s="1533" t="e">
        <f t="shared" si="9"/>
        <v>#VALUE!</v>
      </c>
      <c r="ES648" s="1533"/>
      <c r="ET648" s="1533"/>
      <c r="EU648" s="1533"/>
      <c r="EV648" s="1533"/>
      <c r="EW648" s="1533" t="e">
        <f t="shared" si="10"/>
        <v>#VALUE!</v>
      </c>
      <c r="EX648" s="1533"/>
      <c r="EY648" s="1533"/>
      <c r="EZ648" s="1533"/>
      <c r="FA648" s="1533"/>
    </row>
    <row r="649" spans="1:157" ht="12.9" customHeight="1">
      <c r="B649" s="1728" t="s">
        <v>268</v>
      </c>
      <c r="C649" s="1729"/>
      <c r="D649" s="1729"/>
      <c r="E649" s="1729"/>
      <c r="F649" s="1729"/>
      <c r="G649" s="1729"/>
      <c r="H649" s="1729"/>
      <c r="I649" s="1729"/>
      <c r="J649" s="1729"/>
      <c r="K649" s="1729"/>
      <c r="L649" s="1729"/>
      <c r="M649" s="1729"/>
      <c r="N649" s="1729"/>
      <c r="O649" s="1729"/>
      <c r="P649" s="1729"/>
      <c r="Q649" s="1729"/>
      <c r="R649" s="1729"/>
      <c r="S649" s="1729"/>
      <c r="T649" s="1729"/>
      <c r="U649" s="1729"/>
      <c r="V649" s="1729"/>
      <c r="W649" s="1729"/>
      <c r="X649" s="1729"/>
      <c r="Y649" s="1729"/>
      <c r="Z649" s="1729"/>
      <c r="AA649" s="1729"/>
      <c r="AB649" s="1729"/>
      <c r="AC649" s="1729"/>
      <c r="AD649" s="1729"/>
      <c r="AE649" s="1729"/>
      <c r="AF649" s="1729"/>
      <c r="AG649" s="1729"/>
      <c r="AH649" s="1729"/>
      <c r="AI649" s="1729"/>
      <c r="AJ649" s="1729"/>
      <c r="AK649" s="1729"/>
      <c r="AL649" s="1729"/>
      <c r="AM649" s="1729"/>
      <c r="AN649" s="1730"/>
      <c r="AO649" s="1653">
        <f>AO647+AO648</f>
        <v>63865236</v>
      </c>
      <c r="AP649" s="1654"/>
      <c r="AQ649" s="1654"/>
      <c r="AR649" s="1654"/>
      <c r="AS649" s="1655"/>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3" t="e">
        <f t="shared" si="5"/>
        <v>#VALUE!</v>
      </c>
      <c r="DY649" s="1533"/>
      <c r="DZ649" s="1533"/>
      <c r="EA649" s="1533"/>
      <c r="EB649" s="1533"/>
      <c r="EC649" s="1533" t="e">
        <f t="shared" si="6"/>
        <v>#VALUE!</v>
      </c>
      <c r="ED649" s="1533"/>
      <c r="EE649" s="1533"/>
      <c r="EF649" s="1533"/>
      <c r="EG649" s="1533"/>
      <c r="EH649" s="1533" t="e">
        <f t="shared" si="7"/>
        <v>#VALUE!</v>
      </c>
      <c r="EI649" s="1533"/>
      <c r="EJ649" s="1533"/>
      <c r="EK649" s="1533"/>
      <c r="EL649" s="1533"/>
      <c r="EM649" s="1533" t="e">
        <f t="shared" si="8"/>
        <v>#VALUE!</v>
      </c>
      <c r="EN649" s="1533"/>
      <c r="EO649" s="1533"/>
      <c r="EP649" s="1533"/>
      <c r="EQ649" s="1533"/>
      <c r="ER649" s="1533" t="e">
        <f t="shared" si="9"/>
        <v>#VALUE!</v>
      </c>
      <c r="ES649" s="1533"/>
      <c r="ET649" s="1533"/>
      <c r="EU649" s="1533"/>
      <c r="EV649" s="1533"/>
      <c r="EW649" s="1533" t="e">
        <f t="shared" si="10"/>
        <v>#VALUE!</v>
      </c>
      <c r="EX649" s="1533"/>
      <c r="EY649" s="1533"/>
      <c r="EZ649" s="1533"/>
      <c r="FA649" s="1533"/>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3" t="e">
        <f t="shared" si="5"/>
        <v>#VALUE!</v>
      </c>
      <c r="DY650" s="1533"/>
      <c r="DZ650" s="1533"/>
      <c r="EA650" s="1533"/>
      <c r="EB650" s="1533"/>
      <c r="EC650" s="1533" t="e">
        <f t="shared" si="6"/>
        <v>#VALUE!</v>
      </c>
      <c r="ED650" s="1533"/>
      <c r="EE650" s="1533"/>
      <c r="EF650" s="1533"/>
      <c r="EG650" s="1533"/>
      <c r="EH650" s="1533" t="e">
        <f t="shared" si="7"/>
        <v>#VALUE!</v>
      </c>
      <c r="EI650" s="1533"/>
      <c r="EJ650" s="1533"/>
      <c r="EK650" s="1533"/>
      <c r="EL650" s="1533"/>
      <c r="EM650" s="1533" t="e">
        <f t="shared" si="8"/>
        <v>#VALUE!</v>
      </c>
      <c r="EN650" s="1533"/>
      <c r="EO650" s="1533"/>
      <c r="EP650" s="1533"/>
      <c r="EQ650" s="1533"/>
      <c r="ER650" s="1533" t="e">
        <f t="shared" si="9"/>
        <v>#VALUE!</v>
      </c>
      <c r="ES650" s="1533"/>
      <c r="ET650" s="1533"/>
      <c r="EU650" s="1533"/>
      <c r="EV650" s="1533"/>
      <c r="EW650" s="1533" t="e">
        <f t="shared" si="10"/>
        <v>#VALUE!</v>
      </c>
      <c r="EX650" s="1533"/>
      <c r="EY650" s="1533"/>
      <c r="EZ650" s="1533"/>
      <c r="FA650" s="1533"/>
    </row>
    <row r="651" spans="1:157" ht="12.9" customHeight="1">
      <c r="A651" s="55" t="s">
        <v>112</v>
      </c>
      <c r="B651" t="s">
        <v>463</v>
      </c>
      <c r="G651" s="1474" t="str">
        <f>C635</f>
        <v>Perm Loan - Tranche B Loan</v>
      </c>
      <c r="H651" s="1474"/>
      <c r="I651" s="1474"/>
      <c r="J651" s="1474"/>
      <c r="K651" s="1474"/>
      <c r="L651" s="1474"/>
      <c r="M651" s="1474"/>
      <c r="N651" s="1474"/>
      <c r="O651" s="1474"/>
      <c r="P651" s="1474"/>
      <c r="Q651" s="1474"/>
      <c r="R651" s="1474"/>
      <c r="S651" s="8"/>
      <c r="T651" s="55" t="s">
        <v>113</v>
      </c>
      <c r="U651" t="s">
        <v>463</v>
      </c>
      <c r="Z651" s="1474" t="str">
        <f>C636</f>
        <v>County Funds - NPLH</v>
      </c>
      <c r="AA651" s="1474"/>
      <c r="AB651" s="1474"/>
      <c r="AC651" s="1474"/>
      <c r="AD651" s="1474"/>
      <c r="AE651" s="1474"/>
      <c r="AF651" s="1474"/>
      <c r="AG651" s="1474"/>
      <c r="AH651" s="1474"/>
      <c r="AI651" s="1474"/>
      <c r="AJ651" s="1474"/>
      <c r="AK651" s="147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3" t="e">
        <f t="shared" si="5"/>
        <v>#VALUE!</v>
      </c>
      <c r="DY651" s="1533"/>
      <c r="DZ651" s="1533"/>
      <c r="EA651" s="1533"/>
      <c r="EB651" s="1533"/>
      <c r="EC651" s="1533" t="e">
        <f t="shared" si="6"/>
        <v>#VALUE!</v>
      </c>
      <c r="ED651" s="1533"/>
      <c r="EE651" s="1533"/>
      <c r="EF651" s="1533"/>
      <c r="EG651" s="1533"/>
      <c r="EH651" s="1533" t="e">
        <f t="shared" si="7"/>
        <v>#VALUE!</v>
      </c>
      <c r="EI651" s="1533"/>
      <c r="EJ651" s="1533"/>
      <c r="EK651" s="1533"/>
      <c r="EL651" s="1533"/>
      <c r="EM651" s="1533" t="e">
        <f t="shared" si="8"/>
        <v>#VALUE!</v>
      </c>
      <c r="EN651" s="1533"/>
      <c r="EO651" s="1533"/>
      <c r="EP651" s="1533"/>
      <c r="EQ651" s="1533"/>
      <c r="ER651" s="1533" t="e">
        <f t="shared" si="9"/>
        <v>#VALUE!</v>
      </c>
      <c r="ES651" s="1533"/>
      <c r="ET651" s="1533"/>
      <c r="EU651" s="1533"/>
      <c r="EV651" s="1533"/>
      <c r="EW651" s="1533" t="e">
        <f t="shared" si="10"/>
        <v>#VALUE!</v>
      </c>
      <c r="EX651" s="1533"/>
      <c r="EY651" s="1533"/>
      <c r="EZ651" s="1533"/>
      <c r="FA651" s="1533"/>
    </row>
    <row r="652" spans="1:157" ht="12.9" customHeight="1">
      <c r="A652" s="22"/>
      <c r="B652" t="s">
        <v>85</v>
      </c>
      <c r="G652" s="1468" t="s">
        <v>2729</v>
      </c>
      <c r="H652" s="1468"/>
      <c r="I652" s="1468"/>
      <c r="J652" s="1468"/>
      <c r="K652" s="1468"/>
      <c r="L652" s="1468"/>
      <c r="M652" s="1468"/>
      <c r="N652" s="1468"/>
      <c r="O652" s="1468"/>
      <c r="P652" s="1468"/>
      <c r="Q652" s="1468"/>
      <c r="R652" s="1468"/>
      <c r="S652" s="8"/>
      <c r="T652" s="22"/>
      <c r="U652" t="s">
        <v>85</v>
      </c>
      <c r="Z652" s="1468" t="s">
        <v>2708</v>
      </c>
      <c r="AA652" s="1468"/>
      <c r="AB652" s="1468"/>
      <c r="AC652" s="1468"/>
      <c r="AD652" s="1468"/>
      <c r="AE652" s="1468"/>
      <c r="AF652" s="1468"/>
      <c r="AG652" s="1468"/>
      <c r="AH652" s="1468"/>
      <c r="AI652" s="1468"/>
      <c r="AJ652" s="1468"/>
      <c r="AK652" s="1468"/>
      <c r="AV652" s="3"/>
      <c r="AW652" s="3"/>
      <c r="AX652" s="3"/>
      <c r="AY652" s="3"/>
      <c r="AZ652" s="3"/>
      <c r="BA652" s="3"/>
      <c r="BB652" s="3"/>
      <c r="BC652" s="3"/>
      <c r="BD652" s="3"/>
      <c r="BE652" s="3"/>
      <c r="BF652" s="3"/>
      <c r="BG652" s="3"/>
      <c r="BH652" s="3"/>
      <c r="BI652" s="3"/>
      <c r="BJ652" s="3"/>
      <c r="BK652" s="3"/>
      <c r="BL652" s="3"/>
      <c r="BM652" s="3"/>
      <c r="DX652" s="1533" t="e">
        <f t="shared" si="5"/>
        <v>#VALUE!</v>
      </c>
      <c r="DY652" s="1533"/>
      <c r="DZ652" s="1533"/>
      <c r="EA652" s="1533"/>
      <c r="EB652" s="1533"/>
      <c r="EC652" s="1533" t="e">
        <f t="shared" si="6"/>
        <v>#VALUE!</v>
      </c>
      <c r="ED652" s="1533"/>
      <c r="EE652" s="1533"/>
      <c r="EF652" s="1533"/>
      <c r="EG652" s="1533"/>
      <c r="EH652" s="1533" t="e">
        <f t="shared" si="7"/>
        <v>#VALUE!</v>
      </c>
      <c r="EI652" s="1533"/>
      <c r="EJ652" s="1533"/>
      <c r="EK652" s="1533"/>
      <c r="EL652" s="1533"/>
      <c r="EM652" s="1533" t="e">
        <f t="shared" si="8"/>
        <v>#VALUE!</v>
      </c>
      <c r="EN652" s="1533"/>
      <c r="EO652" s="1533"/>
      <c r="EP652" s="1533"/>
      <c r="EQ652" s="1533"/>
      <c r="ER652" s="1533" t="e">
        <f t="shared" si="9"/>
        <v>#VALUE!</v>
      </c>
      <c r="ES652" s="1533"/>
      <c r="ET652" s="1533"/>
      <c r="EU652" s="1533"/>
      <c r="EV652" s="1533"/>
      <c r="EW652" s="1533" t="e">
        <f t="shared" si="10"/>
        <v>#VALUE!</v>
      </c>
      <c r="EX652" s="1533"/>
      <c r="EY652" s="1533"/>
      <c r="EZ652" s="1533"/>
      <c r="FA652" s="1533"/>
    </row>
    <row r="653" spans="1:157" ht="12.9" customHeight="1">
      <c r="A653" s="22"/>
      <c r="B653" t="s">
        <v>580</v>
      </c>
      <c r="G653" s="1468" t="s">
        <v>2730</v>
      </c>
      <c r="H653" s="1468"/>
      <c r="I653" s="1468"/>
      <c r="J653" s="1468"/>
      <c r="K653" s="1468"/>
      <c r="L653" s="1468"/>
      <c r="M653" s="1468"/>
      <c r="N653" s="1468"/>
      <c r="O653" s="1468"/>
      <c r="P653" s="1468"/>
      <c r="Q653" s="1468"/>
      <c r="R653" s="1468"/>
      <c r="T653" s="22"/>
      <c r="U653" t="s">
        <v>580</v>
      </c>
      <c r="Z653" s="1485" t="s">
        <v>2686</v>
      </c>
      <c r="AA653" s="1485"/>
      <c r="AB653" s="1485"/>
      <c r="AC653" s="1485"/>
      <c r="AD653" s="1485"/>
      <c r="AE653" s="1485"/>
      <c r="AF653" s="1485"/>
      <c r="AG653" s="1485"/>
      <c r="AH653" s="1485"/>
      <c r="AI653" s="1485"/>
      <c r="AJ653" s="1485"/>
      <c r="AK653" s="1485"/>
      <c r="AV653" s="3"/>
      <c r="AW653" s="3"/>
      <c r="AX653" s="3"/>
      <c r="AY653" s="3"/>
      <c r="AZ653" s="3"/>
      <c r="BA653" s="3"/>
      <c r="BB653" s="3"/>
      <c r="BC653" s="3"/>
      <c r="BD653" s="3"/>
      <c r="BE653" s="3"/>
      <c r="BF653" s="3"/>
      <c r="BG653" s="3"/>
      <c r="BH653" s="3"/>
      <c r="BI653" s="3"/>
      <c r="BJ653" s="3"/>
      <c r="BK653" s="3"/>
      <c r="BL653" s="3"/>
      <c r="BM653" s="3"/>
      <c r="DX653" s="1533" t="e">
        <f t="shared" si="5"/>
        <v>#VALUE!</v>
      </c>
      <c r="DY653" s="1533"/>
      <c r="DZ653" s="1533"/>
      <c r="EA653" s="1533"/>
      <c r="EB653" s="1533"/>
      <c r="EC653" s="1533" t="e">
        <f t="shared" si="6"/>
        <v>#VALUE!</v>
      </c>
      <c r="ED653" s="1533"/>
      <c r="EE653" s="1533"/>
      <c r="EF653" s="1533"/>
      <c r="EG653" s="1533"/>
      <c r="EH653" s="1533" t="e">
        <f t="shared" si="7"/>
        <v>#VALUE!</v>
      </c>
      <c r="EI653" s="1533"/>
      <c r="EJ653" s="1533"/>
      <c r="EK653" s="1533"/>
      <c r="EL653" s="1533"/>
      <c r="EM653" s="1533" t="e">
        <f t="shared" si="8"/>
        <v>#VALUE!</v>
      </c>
      <c r="EN653" s="1533"/>
      <c r="EO653" s="1533"/>
      <c r="EP653" s="1533"/>
      <c r="EQ653" s="1533"/>
      <c r="ER653" s="1533" t="e">
        <f t="shared" si="9"/>
        <v>#VALUE!</v>
      </c>
      <c r="ES653" s="1533"/>
      <c r="ET653" s="1533"/>
      <c r="EU653" s="1533"/>
      <c r="EV653" s="1533"/>
      <c r="EW653" s="1533" t="e">
        <f t="shared" si="10"/>
        <v>#VALUE!</v>
      </c>
      <c r="EX653" s="1533"/>
      <c r="EY653" s="1533"/>
      <c r="EZ653" s="1533"/>
      <c r="FA653" s="1533"/>
    </row>
    <row r="654" spans="1:157" ht="12.9" customHeight="1">
      <c r="A654" s="22"/>
      <c r="B654" t="s">
        <v>17</v>
      </c>
      <c r="G654" s="1468" t="s">
        <v>2731</v>
      </c>
      <c r="H654" s="1468"/>
      <c r="I654" s="1468"/>
      <c r="J654" s="1468"/>
      <c r="K654" s="1468"/>
      <c r="L654" s="1468"/>
      <c r="M654" s="1468"/>
      <c r="N654" s="1468"/>
      <c r="O654" s="1468"/>
      <c r="P654" s="1468"/>
      <c r="Q654" s="1468"/>
      <c r="R654" s="1468"/>
      <c r="S654" s="8"/>
      <c r="T654" s="22"/>
      <c r="U654" t="s">
        <v>17</v>
      </c>
      <c r="Z654" s="1485" t="s">
        <v>2709</v>
      </c>
      <c r="AA654" s="1485"/>
      <c r="AB654" s="1485"/>
      <c r="AC654" s="1485"/>
      <c r="AD654" s="1485"/>
      <c r="AE654" s="1485"/>
      <c r="AF654" s="1485"/>
      <c r="AG654" s="1485"/>
      <c r="AH654" s="1485"/>
      <c r="AI654" s="1485"/>
      <c r="AJ654" s="1485"/>
      <c r="AK654" s="1485"/>
      <c r="AZ654" s="3"/>
      <c r="BA654" s="3"/>
      <c r="BB654" s="3"/>
      <c r="BC654" s="3"/>
      <c r="BD654" s="3"/>
      <c r="BE654" s="3"/>
      <c r="BF654" s="3"/>
      <c r="BG654" s="3"/>
      <c r="BH654" s="3"/>
      <c r="BI654" s="3"/>
      <c r="BJ654" s="3"/>
      <c r="BK654" s="3"/>
      <c r="BL654" s="3"/>
      <c r="BM654" s="3"/>
      <c r="DX654" s="1533" t="e">
        <f t="shared" si="5"/>
        <v>#VALUE!</v>
      </c>
      <c r="DY654" s="1533"/>
      <c r="DZ654" s="1533"/>
      <c r="EA654" s="1533"/>
      <c r="EB654" s="1533"/>
      <c r="EC654" s="1533" t="e">
        <f t="shared" si="6"/>
        <v>#VALUE!</v>
      </c>
      <c r="ED654" s="1533"/>
      <c r="EE654" s="1533"/>
      <c r="EF654" s="1533"/>
      <c r="EG654" s="1533"/>
      <c r="EH654" s="1533" t="e">
        <f t="shared" si="7"/>
        <v>#VALUE!</v>
      </c>
      <c r="EI654" s="1533"/>
      <c r="EJ654" s="1533"/>
      <c r="EK654" s="1533"/>
      <c r="EL654" s="1533"/>
      <c r="EM654" s="1533" t="e">
        <f t="shared" si="8"/>
        <v>#VALUE!</v>
      </c>
      <c r="EN654" s="1533"/>
      <c r="EO654" s="1533"/>
      <c r="EP654" s="1533"/>
      <c r="EQ654" s="1533"/>
      <c r="ER654" s="1533" t="e">
        <f t="shared" si="9"/>
        <v>#VALUE!</v>
      </c>
      <c r="ES654" s="1533"/>
      <c r="ET654" s="1533"/>
      <c r="EU654" s="1533"/>
      <c r="EV654" s="1533"/>
      <c r="EW654" s="1533" t="e">
        <f t="shared" si="10"/>
        <v>#VALUE!</v>
      </c>
      <c r="EX654" s="1533"/>
      <c r="EY654" s="1533"/>
      <c r="EZ654" s="1533"/>
      <c r="FA654" s="1533"/>
    </row>
    <row r="655" spans="1:157" ht="12.9" customHeight="1">
      <c r="A655" s="22"/>
      <c r="B655" t="s">
        <v>316</v>
      </c>
      <c r="G655" s="1498" t="s">
        <v>2732</v>
      </c>
      <c r="H655" s="1498"/>
      <c r="I655" s="1498"/>
      <c r="J655" s="1498"/>
      <c r="K655" s="1498"/>
      <c r="L655" s="1498"/>
      <c r="O655" s="33" t="s">
        <v>206</v>
      </c>
      <c r="P655" s="1473"/>
      <c r="Q655" s="1473"/>
      <c r="R655" s="1473"/>
      <c r="S655" s="10"/>
      <c r="T655" s="22"/>
      <c r="U655" t="s">
        <v>316</v>
      </c>
      <c r="Z655" s="1498" t="s">
        <v>2710</v>
      </c>
      <c r="AA655" s="1498"/>
      <c r="AB655" s="1498"/>
      <c r="AC655" s="1498"/>
      <c r="AD655" s="1498"/>
      <c r="AE655" s="1498"/>
      <c r="AH655" s="33" t="s">
        <v>206</v>
      </c>
      <c r="AI655" s="1473"/>
      <c r="AJ655" s="1473"/>
      <c r="AK655" s="1473"/>
      <c r="AZ655" s="34"/>
      <c r="BA655" s="34"/>
      <c r="BB655" s="34"/>
      <c r="BC655" s="34"/>
      <c r="BD655" s="34"/>
      <c r="BE655" s="34"/>
      <c r="BF655" s="34"/>
      <c r="BG655" s="34"/>
      <c r="BH655" s="34"/>
      <c r="BI655" s="34"/>
      <c r="BJ655" s="34"/>
      <c r="BK655" s="34"/>
      <c r="BL655" s="34"/>
      <c r="BM655" s="34"/>
      <c r="DX655" s="1533" t="e">
        <f t="shared" si="5"/>
        <v>#VALUE!</v>
      </c>
      <c r="DY655" s="1533"/>
      <c r="DZ655" s="1533"/>
      <c r="EA655" s="1533"/>
      <c r="EB655" s="1533"/>
      <c r="EC655" s="1533" t="e">
        <f t="shared" si="6"/>
        <v>#VALUE!</v>
      </c>
      <c r="ED655" s="1533"/>
      <c r="EE655" s="1533"/>
      <c r="EF655" s="1533"/>
      <c r="EG655" s="1533"/>
      <c r="EH655" s="1533" t="e">
        <f t="shared" si="7"/>
        <v>#VALUE!</v>
      </c>
      <c r="EI655" s="1533"/>
      <c r="EJ655" s="1533"/>
      <c r="EK655" s="1533"/>
      <c r="EL655" s="1533"/>
      <c r="EM655" s="1533" t="e">
        <f t="shared" si="8"/>
        <v>#VALUE!</v>
      </c>
      <c r="EN655" s="1533"/>
      <c r="EO655" s="1533"/>
      <c r="EP655" s="1533"/>
      <c r="EQ655" s="1533"/>
      <c r="ER655" s="1533" t="e">
        <f t="shared" si="9"/>
        <v>#VALUE!</v>
      </c>
      <c r="ES655" s="1533"/>
      <c r="ET655" s="1533"/>
      <c r="EU655" s="1533"/>
      <c r="EV655" s="1533"/>
      <c r="EW655" s="1533" t="e">
        <f t="shared" si="10"/>
        <v>#VALUE!</v>
      </c>
      <c r="EX655" s="1533"/>
      <c r="EY655" s="1533"/>
      <c r="EZ655" s="1533"/>
      <c r="FA655" s="1533"/>
    </row>
    <row r="656" spans="1:157" ht="12.9" customHeight="1">
      <c r="A656" s="22"/>
      <c r="B656" t="s">
        <v>18</v>
      </c>
      <c r="H656" s="1467" t="s">
        <v>2796</v>
      </c>
      <c r="I656" s="1468"/>
      <c r="J656" s="1468"/>
      <c r="K656" s="1468"/>
      <c r="L656" s="1468"/>
      <c r="M656" s="1468"/>
      <c r="N656" s="1468"/>
      <c r="O656" s="1468"/>
      <c r="P656" s="1468"/>
      <c r="Q656" s="1468"/>
      <c r="R656" s="1468"/>
      <c r="S656" s="8"/>
      <c r="T656" s="22"/>
      <c r="U656" t="s">
        <v>18</v>
      </c>
      <c r="AA656" s="1468" t="s">
        <v>2734</v>
      </c>
      <c r="AB656" s="1468"/>
      <c r="AC656" s="1468"/>
      <c r="AD656" s="1468"/>
      <c r="AE656" s="1468"/>
      <c r="AF656" s="1468"/>
      <c r="AG656" s="1468"/>
      <c r="AH656" s="1468"/>
      <c r="AI656" s="1468"/>
      <c r="AJ656" s="1468"/>
      <c r="AK656" s="1468"/>
      <c r="AZ656" s="34"/>
      <c r="BA656" s="34"/>
      <c r="BB656" s="34"/>
      <c r="BC656" s="34"/>
      <c r="BD656" s="34"/>
      <c r="BE656" s="34"/>
      <c r="BF656" s="34"/>
      <c r="BG656" s="34"/>
      <c r="BH656" s="34"/>
      <c r="BI656" s="34"/>
      <c r="BJ656" s="34"/>
      <c r="BK656" s="34"/>
      <c r="BL656" s="34"/>
      <c r="BM656" s="34"/>
      <c r="DX656" s="1533" t="e">
        <f t="shared" si="5"/>
        <v>#VALUE!</v>
      </c>
      <c r="DY656" s="1533"/>
      <c r="DZ656" s="1533"/>
      <c r="EA656" s="1533"/>
      <c r="EB656" s="1533"/>
      <c r="EC656" s="1533" t="e">
        <f t="shared" si="6"/>
        <v>#VALUE!</v>
      </c>
      <c r="ED656" s="1533"/>
      <c r="EE656" s="1533"/>
      <c r="EF656" s="1533"/>
      <c r="EG656" s="1533"/>
      <c r="EH656" s="1533" t="e">
        <f t="shared" si="7"/>
        <v>#VALUE!</v>
      </c>
      <c r="EI656" s="1533"/>
      <c r="EJ656" s="1533"/>
      <c r="EK656" s="1533"/>
      <c r="EL656" s="1533"/>
      <c r="EM656" s="1533" t="e">
        <f t="shared" si="8"/>
        <v>#VALUE!</v>
      </c>
      <c r="EN656" s="1533"/>
      <c r="EO656" s="1533"/>
      <c r="EP656" s="1533"/>
      <c r="EQ656" s="1533"/>
      <c r="ER656" s="1533" t="e">
        <f t="shared" si="9"/>
        <v>#VALUE!</v>
      </c>
      <c r="ES656" s="1533"/>
      <c r="ET656" s="1533"/>
      <c r="EU656" s="1533"/>
      <c r="EV656" s="1533"/>
      <c r="EW656" s="1533" t="e">
        <f t="shared" si="10"/>
        <v>#VALUE!</v>
      </c>
      <c r="EX656" s="1533"/>
      <c r="EY656" s="1533"/>
      <c r="EZ656" s="1533"/>
      <c r="FA656" s="1533"/>
    </row>
    <row r="657" spans="1:157" ht="12.9" customHeight="1">
      <c r="A657" s="22"/>
      <c r="B657" t="s">
        <v>20</v>
      </c>
      <c r="N657" s="1344" t="s">
        <v>545</v>
      </c>
      <c r="O657" s="1344"/>
      <c r="T657" s="22"/>
      <c r="U657" t="s">
        <v>20</v>
      </c>
      <c r="AG657" s="1344" t="s">
        <v>545</v>
      </c>
      <c r="AH657" s="1344"/>
      <c r="AZ657" s="34"/>
      <c r="BA657" s="34"/>
      <c r="BB657" s="34"/>
      <c r="BC657" s="34"/>
      <c r="BD657" s="34"/>
      <c r="BE657" s="34"/>
      <c r="BF657" s="34"/>
      <c r="BG657" s="34"/>
      <c r="BH657" s="34"/>
      <c r="BI657" s="34"/>
      <c r="BJ657" s="34"/>
      <c r="BK657" s="34"/>
      <c r="BL657" s="34"/>
      <c r="BM657" s="34"/>
      <c r="DX657" s="1533" t="e">
        <f t="shared" si="5"/>
        <v>#VALUE!</v>
      </c>
      <c r="DY657" s="1533"/>
      <c r="DZ657" s="1533"/>
      <c r="EA657" s="1533"/>
      <c r="EB657" s="1533"/>
      <c r="EC657" s="1533" t="e">
        <f t="shared" si="6"/>
        <v>#VALUE!</v>
      </c>
      <c r="ED657" s="1533"/>
      <c r="EE657" s="1533"/>
      <c r="EF657" s="1533"/>
      <c r="EG657" s="1533"/>
      <c r="EH657" s="1533" t="e">
        <f t="shared" si="7"/>
        <v>#VALUE!</v>
      </c>
      <c r="EI657" s="1533"/>
      <c r="EJ657" s="1533"/>
      <c r="EK657" s="1533"/>
      <c r="EL657" s="1533"/>
      <c r="EM657" s="1533" t="e">
        <f t="shared" si="8"/>
        <v>#VALUE!</v>
      </c>
      <c r="EN657" s="1533"/>
      <c r="EO657" s="1533"/>
      <c r="EP657" s="1533"/>
      <c r="EQ657" s="1533"/>
      <c r="ER657" s="1533" t="e">
        <f t="shared" si="9"/>
        <v>#VALUE!</v>
      </c>
      <c r="ES657" s="1533"/>
      <c r="ET657" s="1533"/>
      <c r="EU657" s="1533"/>
      <c r="EV657" s="1533"/>
      <c r="EW657" s="1533" t="e">
        <f t="shared" si="10"/>
        <v>#VALUE!</v>
      </c>
      <c r="EX657" s="1533"/>
      <c r="EY657" s="1533"/>
      <c r="EZ657" s="1533"/>
      <c r="FA657" s="1533"/>
    </row>
    <row r="658" spans="1:157" ht="12.9" customHeight="1">
      <c r="A658" s="22"/>
      <c r="T658" s="22"/>
      <c r="AZ658" s="34"/>
      <c r="BA658" s="34"/>
      <c r="BB658" s="34"/>
      <c r="BC658" s="34"/>
      <c r="BD658" s="34"/>
      <c r="BE658" s="34"/>
      <c r="BF658" s="34"/>
      <c r="BG658" s="34"/>
      <c r="BH658" s="34"/>
      <c r="BI658" s="34"/>
      <c r="BJ658" s="34"/>
      <c r="BK658" s="34"/>
      <c r="BL658" s="34"/>
      <c r="BM658" s="34"/>
      <c r="DX658" s="1533" t="e">
        <f t="shared" si="5"/>
        <v>#VALUE!</v>
      </c>
      <c r="DY658" s="1533"/>
      <c r="DZ658" s="1533"/>
      <c r="EA658" s="1533"/>
      <c r="EB658" s="1533"/>
      <c r="EC658" s="1533" t="e">
        <f t="shared" si="6"/>
        <v>#VALUE!</v>
      </c>
      <c r="ED658" s="1533"/>
      <c r="EE658" s="1533"/>
      <c r="EF658" s="1533"/>
      <c r="EG658" s="1533"/>
      <c r="EH658" s="1533" t="e">
        <f t="shared" si="7"/>
        <v>#VALUE!</v>
      </c>
      <c r="EI658" s="1533"/>
      <c r="EJ658" s="1533"/>
      <c r="EK658" s="1533"/>
      <c r="EL658" s="1533"/>
      <c r="EM658" s="1533" t="e">
        <f t="shared" si="8"/>
        <v>#VALUE!</v>
      </c>
      <c r="EN658" s="1533"/>
      <c r="EO658" s="1533"/>
      <c r="EP658" s="1533"/>
      <c r="EQ658" s="1533"/>
      <c r="ER658" s="1533" t="e">
        <f t="shared" si="9"/>
        <v>#VALUE!</v>
      </c>
      <c r="ES658" s="1533"/>
      <c r="ET658" s="1533"/>
      <c r="EU658" s="1533"/>
      <c r="EV658" s="1533"/>
      <c r="EW658" s="1533" t="e">
        <f t="shared" si="10"/>
        <v>#VALUE!</v>
      </c>
      <c r="EX658" s="1533"/>
      <c r="EY658" s="1533"/>
      <c r="EZ658" s="1533"/>
      <c r="FA658" s="1533"/>
    </row>
    <row r="659" spans="1:157" ht="12.9" customHeight="1">
      <c r="A659" s="55" t="s">
        <v>119</v>
      </c>
      <c r="B659" t="s">
        <v>463</v>
      </c>
      <c r="G659" s="1474" t="str">
        <f>C637</f>
        <v>County Funds - AHTF</v>
      </c>
      <c r="H659" s="1474"/>
      <c r="I659" s="1474"/>
      <c r="J659" s="1474"/>
      <c r="K659" s="1474"/>
      <c r="L659" s="1474"/>
      <c r="M659" s="1474"/>
      <c r="N659" s="1474"/>
      <c r="O659" s="1474"/>
      <c r="P659" s="1474"/>
      <c r="Q659" s="1474"/>
      <c r="R659" s="1474"/>
      <c r="T659" s="55" t="s">
        <v>581</v>
      </c>
      <c r="U659" t="s">
        <v>463</v>
      </c>
      <c r="Z659" s="1474" t="str">
        <f>C638</f>
        <v>GP Equity</v>
      </c>
      <c r="AA659" s="1474"/>
      <c r="AB659" s="1474"/>
      <c r="AC659" s="1474"/>
      <c r="AD659" s="1474"/>
      <c r="AE659" s="1474"/>
      <c r="AF659" s="1474"/>
      <c r="AG659" s="1474"/>
      <c r="AH659" s="1474"/>
      <c r="AI659" s="1474"/>
      <c r="AJ659" s="1474"/>
      <c r="AK659" s="1474"/>
      <c r="AZ659" s="34"/>
      <c r="BA659" s="34"/>
      <c r="BB659" s="34"/>
      <c r="BC659" s="34"/>
      <c r="BD659" s="34"/>
      <c r="BE659" s="34"/>
      <c r="BF659" s="34"/>
      <c r="BG659" s="34"/>
      <c r="BH659" s="34"/>
      <c r="BI659" s="34"/>
      <c r="BJ659" s="34"/>
      <c r="BK659" s="34"/>
      <c r="BL659" s="34"/>
      <c r="BM659" s="34"/>
      <c r="DX659" s="1533" t="e">
        <f t="shared" si="5"/>
        <v>#VALUE!</v>
      </c>
      <c r="DY659" s="1533"/>
      <c r="DZ659" s="1533"/>
      <c r="EA659" s="1533"/>
      <c r="EB659" s="1533"/>
      <c r="EC659" s="1533" t="e">
        <f t="shared" si="6"/>
        <v>#VALUE!</v>
      </c>
      <c r="ED659" s="1533"/>
      <c r="EE659" s="1533"/>
      <c r="EF659" s="1533"/>
      <c r="EG659" s="1533"/>
      <c r="EH659" s="1533" t="e">
        <f t="shared" si="7"/>
        <v>#VALUE!</v>
      </c>
      <c r="EI659" s="1533"/>
      <c r="EJ659" s="1533"/>
      <c r="EK659" s="1533"/>
      <c r="EL659" s="1533"/>
      <c r="EM659" s="1533" t="e">
        <f t="shared" si="8"/>
        <v>#VALUE!</v>
      </c>
      <c r="EN659" s="1533"/>
      <c r="EO659" s="1533"/>
      <c r="EP659" s="1533"/>
      <c r="EQ659" s="1533"/>
      <c r="ER659" s="1533" t="e">
        <f t="shared" si="9"/>
        <v>#VALUE!</v>
      </c>
      <c r="ES659" s="1533"/>
      <c r="ET659" s="1533"/>
      <c r="EU659" s="1533"/>
      <c r="EV659" s="1533"/>
      <c r="EW659" s="1533" t="e">
        <f t="shared" si="10"/>
        <v>#VALUE!</v>
      </c>
      <c r="EX659" s="1533"/>
      <c r="EY659" s="1533"/>
      <c r="EZ659" s="1533"/>
      <c r="FA659" s="1533"/>
    </row>
    <row r="660" spans="1:157" ht="12.9" customHeight="1">
      <c r="A660" s="22"/>
      <c r="B660" t="s">
        <v>85</v>
      </c>
      <c r="G660" s="1468" t="s">
        <v>2708</v>
      </c>
      <c r="H660" s="1468"/>
      <c r="I660" s="1468"/>
      <c r="J660" s="1468"/>
      <c r="K660" s="1468"/>
      <c r="L660" s="1468"/>
      <c r="M660" s="1468"/>
      <c r="N660" s="1468"/>
      <c r="O660" s="1468"/>
      <c r="P660" s="1468"/>
      <c r="Q660" s="1468"/>
      <c r="R660" s="1468"/>
      <c r="T660" s="22"/>
      <c r="U660" t="s">
        <v>85</v>
      </c>
      <c r="Z660" s="1467" t="s">
        <v>2647</v>
      </c>
      <c r="AA660" s="1468"/>
      <c r="AB660" s="1468"/>
      <c r="AC660" s="1468"/>
      <c r="AD660" s="1468"/>
      <c r="AE660" s="1468"/>
      <c r="AF660" s="1468"/>
      <c r="AG660" s="1468"/>
      <c r="AH660" s="1468"/>
      <c r="AI660" s="1468"/>
      <c r="AJ660" s="1468"/>
      <c r="AK660" s="1468"/>
      <c r="AZ660" s="34"/>
      <c r="BA660" s="34"/>
      <c r="BB660" s="34"/>
      <c r="BC660" s="34"/>
      <c r="BD660" s="34"/>
      <c r="BE660" s="34"/>
      <c r="BF660" s="34"/>
      <c r="BG660" s="34"/>
      <c r="BH660" s="34"/>
      <c r="BI660" s="34"/>
      <c r="BJ660" s="34"/>
      <c r="BK660" s="34"/>
      <c r="BL660" s="34"/>
      <c r="BM660" s="34"/>
      <c r="DX660" s="1533" t="e">
        <f t="shared" si="5"/>
        <v>#VALUE!</v>
      </c>
      <c r="DY660" s="1533"/>
      <c r="DZ660" s="1533"/>
      <c r="EA660" s="1533"/>
      <c r="EB660" s="1533"/>
      <c r="EC660" s="1533" t="e">
        <f t="shared" si="6"/>
        <v>#VALUE!</v>
      </c>
      <c r="ED660" s="1533"/>
      <c r="EE660" s="1533"/>
      <c r="EF660" s="1533"/>
      <c r="EG660" s="1533"/>
      <c r="EH660" s="1533" t="e">
        <f t="shared" si="7"/>
        <v>#VALUE!</v>
      </c>
      <c r="EI660" s="1533"/>
      <c r="EJ660" s="1533"/>
      <c r="EK660" s="1533"/>
      <c r="EL660" s="1533"/>
      <c r="EM660" s="1533" t="e">
        <f t="shared" si="8"/>
        <v>#VALUE!</v>
      </c>
      <c r="EN660" s="1533"/>
      <c r="EO660" s="1533"/>
      <c r="EP660" s="1533"/>
      <c r="EQ660" s="1533"/>
      <c r="ER660" s="1533" t="e">
        <f t="shared" si="9"/>
        <v>#VALUE!</v>
      </c>
      <c r="ES660" s="1533"/>
      <c r="ET660" s="1533"/>
      <c r="EU660" s="1533"/>
      <c r="EV660" s="1533"/>
      <c r="EW660" s="1533" t="e">
        <f t="shared" si="10"/>
        <v>#VALUE!</v>
      </c>
      <c r="EX660" s="1533"/>
      <c r="EY660" s="1533"/>
      <c r="EZ660" s="1533"/>
      <c r="FA660" s="1533"/>
    </row>
    <row r="661" spans="1:157" ht="12.9" customHeight="1">
      <c r="A661" s="22"/>
      <c r="B661" t="s">
        <v>580</v>
      </c>
      <c r="G661" s="1485" t="s">
        <v>2686</v>
      </c>
      <c r="H661" s="1485"/>
      <c r="I661" s="1485"/>
      <c r="J661" s="1485"/>
      <c r="K661" s="1485"/>
      <c r="L661" s="1485"/>
      <c r="M661" s="1485"/>
      <c r="N661" s="1485"/>
      <c r="O661" s="1485"/>
      <c r="P661" s="1485"/>
      <c r="Q661" s="1485"/>
      <c r="R661" s="1485"/>
      <c r="T661" s="22"/>
      <c r="U661" t="s">
        <v>580</v>
      </c>
      <c r="Z661" s="1485" t="s">
        <v>2704</v>
      </c>
      <c r="AA661" s="1485"/>
      <c r="AB661" s="1485"/>
      <c r="AC661" s="1485"/>
      <c r="AD661" s="1485"/>
      <c r="AE661" s="1485"/>
      <c r="AF661" s="1485"/>
      <c r="AG661" s="1485"/>
      <c r="AH661" s="1485"/>
      <c r="AI661" s="1485"/>
      <c r="AJ661" s="1485"/>
      <c r="AK661" s="1485"/>
      <c r="AZ661" s="34"/>
      <c r="BA661" s="34"/>
      <c r="BB661" s="34"/>
      <c r="BC661" s="34"/>
      <c r="BD661" s="34"/>
      <c r="BE661" s="34"/>
      <c r="BF661" s="34"/>
      <c r="BG661" s="34"/>
      <c r="BH661" s="34"/>
      <c r="BI661" s="34"/>
      <c r="BJ661" s="34"/>
      <c r="BK661" s="34"/>
      <c r="BL661" s="34"/>
      <c r="BM661" s="34"/>
      <c r="DX661" s="1533" t="e">
        <f t="shared" si="5"/>
        <v>#VALUE!</v>
      </c>
      <c r="DY661" s="1533"/>
      <c r="DZ661" s="1533"/>
      <c r="EA661" s="1533"/>
      <c r="EB661" s="1533"/>
      <c r="EC661" s="1533" t="e">
        <f t="shared" si="6"/>
        <v>#VALUE!</v>
      </c>
      <c r="ED661" s="1533"/>
      <c r="EE661" s="1533"/>
      <c r="EF661" s="1533"/>
      <c r="EG661" s="1533"/>
      <c r="EH661" s="1533" t="e">
        <f t="shared" si="7"/>
        <v>#VALUE!</v>
      </c>
      <c r="EI661" s="1533"/>
      <c r="EJ661" s="1533"/>
      <c r="EK661" s="1533"/>
      <c r="EL661" s="1533"/>
      <c r="EM661" s="1533" t="e">
        <f t="shared" si="8"/>
        <v>#VALUE!</v>
      </c>
      <c r="EN661" s="1533"/>
      <c r="EO661" s="1533"/>
      <c r="EP661" s="1533"/>
      <c r="EQ661" s="1533"/>
      <c r="ER661" s="1533" t="e">
        <f t="shared" si="9"/>
        <v>#VALUE!</v>
      </c>
      <c r="ES661" s="1533"/>
      <c r="ET661" s="1533"/>
      <c r="EU661" s="1533"/>
      <c r="EV661" s="1533"/>
      <c r="EW661" s="1533" t="e">
        <f t="shared" si="10"/>
        <v>#VALUE!</v>
      </c>
      <c r="EX661" s="1533"/>
      <c r="EY661" s="1533"/>
      <c r="EZ661" s="1533"/>
      <c r="FA661" s="1533"/>
    </row>
    <row r="662" spans="1:157" ht="12.9" customHeight="1">
      <c r="A662" s="22"/>
      <c r="B662" t="s">
        <v>17</v>
      </c>
      <c r="G662" s="1485" t="s">
        <v>2709</v>
      </c>
      <c r="H662" s="1485"/>
      <c r="I662" s="1485"/>
      <c r="J662" s="1485"/>
      <c r="K662" s="1485"/>
      <c r="L662" s="1485"/>
      <c r="M662" s="1485"/>
      <c r="N662" s="1485"/>
      <c r="O662" s="1485"/>
      <c r="P662" s="1485"/>
      <c r="Q662" s="1485"/>
      <c r="R662" s="1485"/>
      <c r="T662" s="22"/>
      <c r="U662" t="s">
        <v>17</v>
      </c>
      <c r="Z662" s="1485" t="s">
        <v>2705</v>
      </c>
      <c r="AA662" s="1485"/>
      <c r="AB662" s="1485"/>
      <c r="AC662" s="1485"/>
      <c r="AD662" s="1485"/>
      <c r="AE662" s="1485"/>
      <c r="AF662" s="1485"/>
      <c r="AG662" s="1485"/>
      <c r="AH662" s="1485"/>
      <c r="AI662" s="1485"/>
      <c r="AJ662" s="1485"/>
      <c r="AK662" s="1485"/>
      <c r="AZ662" s="34"/>
      <c r="BA662" s="34"/>
      <c r="BB662" s="34"/>
      <c r="BC662" s="34"/>
      <c r="BD662" s="34"/>
      <c r="BE662" s="34"/>
      <c r="BF662" s="34"/>
      <c r="BG662" s="34"/>
      <c r="BH662" s="34"/>
      <c r="BI662" s="34"/>
      <c r="BJ662" s="34"/>
      <c r="BK662" s="34"/>
      <c r="BL662" s="34"/>
      <c r="BM662" s="34"/>
      <c r="DX662" s="1533" t="e">
        <f t="shared" si="5"/>
        <v>#VALUE!</v>
      </c>
      <c r="DY662" s="1533"/>
      <c r="DZ662" s="1533"/>
      <c r="EA662" s="1533"/>
      <c r="EB662" s="1533"/>
      <c r="EC662" s="1533" t="e">
        <f t="shared" si="6"/>
        <v>#VALUE!</v>
      </c>
      <c r="ED662" s="1533"/>
      <c r="EE662" s="1533"/>
      <c r="EF662" s="1533"/>
      <c r="EG662" s="1533"/>
      <c r="EH662" s="1533" t="e">
        <f t="shared" si="7"/>
        <v>#VALUE!</v>
      </c>
      <c r="EI662" s="1533"/>
      <c r="EJ662" s="1533"/>
      <c r="EK662" s="1533"/>
      <c r="EL662" s="1533"/>
      <c r="EM662" s="1533" t="e">
        <f t="shared" si="8"/>
        <v>#VALUE!</v>
      </c>
      <c r="EN662" s="1533"/>
      <c r="EO662" s="1533"/>
      <c r="EP662" s="1533"/>
      <c r="EQ662" s="1533"/>
      <c r="ER662" s="1533" t="e">
        <f t="shared" si="9"/>
        <v>#VALUE!</v>
      </c>
      <c r="ES662" s="1533"/>
      <c r="ET662" s="1533"/>
      <c r="EU662" s="1533"/>
      <c r="EV662" s="1533"/>
      <c r="EW662" s="1533" t="e">
        <f t="shared" si="10"/>
        <v>#VALUE!</v>
      </c>
      <c r="EX662" s="1533"/>
      <c r="EY662" s="1533"/>
      <c r="EZ662" s="1533"/>
      <c r="FA662" s="1533"/>
    </row>
    <row r="663" spans="1:157" ht="12.9" customHeight="1">
      <c r="A663" s="22"/>
      <c r="B663" t="s">
        <v>316</v>
      </c>
      <c r="G663" s="1498" t="s">
        <v>2710</v>
      </c>
      <c r="H663" s="1498"/>
      <c r="I663" s="1498"/>
      <c r="J663" s="1498"/>
      <c r="K663" s="1498"/>
      <c r="L663" s="1498"/>
      <c r="O663" s="33" t="s">
        <v>206</v>
      </c>
      <c r="P663" s="1473"/>
      <c r="Q663" s="1473"/>
      <c r="R663" s="1473"/>
      <c r="T663" s="22"/>
      <c r="U663" t="s">
        <v>316</v>
      </c>
      <c r="Z663" s="1498" t="s">
        <v>2706</v>
      </c>
      <c r="AA663" s="1498"/>
      <c r="AB663" s="1498"/>
      <c r="AC663" s="1498"/>
      <c r="AD663" s="1498"/>
      <c r="AE663" s="1498"/>
      <c r="AH663" s="33" t="s">
        <v>206</v>
      </c>
      <c r="AI663" s="1473"/>
      <c r="AJ663" s="1473"/>
      <c r="AK663" s="1473"/>
      <c r="AZ663" s="34"/>
      <c r="BA663" s="34"/>
      <c r="BB663" s="34"/>
      <c r="BC663" s="34"/>
      <c r="BD663" s="34"/>
      <c r="BE663" s="34"/>
      <c r="BF663" s="34"/>
      <c r="BG663" s="34"/>
      <c r="BH663" s="34"/>
      <c r="BI663" s="34"/>
      <c r="BJ663" s="34"/>
      <c r="BK663" s="34"/>
      <c r="BL663" s="34"/>
      <c r="BM663" s="34"/>
      <c r="DX663" s="1533" t="e">
        <f t="shared" si="5"/>
        <v>#VALUE!</v>
      </c>
      <c r="DY663" s="1533"/>
      <c r="DZ663" s="1533"/>
      <c r="EA663" s="1533"/>
      <c r="EB663" s="1533"/>
      <c r="EC663" s="1533" t="e">
        <f t="shared" si="6"/>
        <v>#VALUE!</v>
      </c>
      <c r="ED663" s="1533"/>
      <c r="EE663" s="1533"/>
      <c r="EF663" s="1533"/>
      <c r="EG663" s="1533"/>
      <c r="EH663" s="1533" t="e">
        <f t="shared" si="7"/>
        <v>#VALUE!</v>
      </c>
      <c r="EI663" s="1533"/>
      <c r="EJ663" s="1533"/>
      <c r="EK663" s="1533"/>
      <c r="EL663" s="1533"/>
      <c r="EM663" s="1533" t="e">
        <f t="shared" si="8"/>
        <v>#VALUE!</v>
      </c>
      <c r="EN663" s="1533"/>
      <c r="EO663" s="1533"/>
      <c r="EP663" s="1533"/>
      <c r="EQ663" s="1533"/>
      <c r="ER663" s="1533" t="e">
        <f t="shared" si="9"/>
        <v>#VALUE!</v>
      </c>
      <c r="ES663" s="1533"/>
      <c r="ET663" s="1533"/>
      <c r="EU663" s="1533"/>
      <c r="EV663" s="1533"/>
      <c r="EW663" s="1533" t="e">
        <f t="shared" si="10"/>
        <v>#VALUE!</v>
      </c>
      <c r="EX663" s="1533"/>
      <c r="EY663" s="1533"/>
      <c r="EZ663" s="1533"/>
      <c r="FA663" s="1533"/>
    </row>
    <row r="664" spans="1:157" ht="12.9" customHeight="1">
      <c r="A664" s="22"/>
      <c r="B664" t="s">
        <v>18</v>
      </c>
      <c r="H664" s="1468" t="s">
        <v>2734</v>
      </c>
      <c r="I664" s="1468"/>
      <c r="J664" s="1468"/>
      <c r="K664" s="1468"/>
      <c r="L664" s="1468"/>
      <c r="M664" s="1468"/>
      <c r="N664" s="1468"/>
      <c r="O664" s="1468"/>
      <c r="P664" s="1468"/>
      <c r="Q664" s="1468"/>
      <c r="R664" s="1468"/>
      <c r="T664" s="22"/>
      <c r="U664" t="s">
        <v>18</v>
      </c>
      <c r="AA664" s="1467" t="s">
        <v>2738</v>
      </c>
      <c r="AB664" s="1468"/>
      <c r="AC664" s="1468"/>
      <c r="AD664" s="1468"/>
      <c r="AE664" s="1468"/>
      <c r="AF664" s="1468"/>
      <c r="AG664" s="1468"/>
      <c r="AH664" s="1468"/>
      <c r="AI664" s="1468"/>
      <c r="AJ664" s="1468"/>
      <c r="AK664" s="1468"/>
      <c r="AZ664" s="34"/>
      <c r="BA664" s="34"/>
      <c r="BB664" s="34"/>
      <c r="BC664" s="34"/>
      <c r="BD664" s="34"/>
      <c r="BE664" s="34"/>
      <c r="BF664" s="34"/>
      <c r="BG664" s="34"/>
      <c r="BH664" s="34"/>
      <c r="BI664" s="34"/>
      <c r="BJ664" s="34"/>
      <c r="BK664" s="34"/>
      <c r="BL664" s="34"/>
      <c r="BM664" s="34"/>
      <c r="DX664" s="1533" t="e">
        <f t="shared" si="5"/>
        <v>#VALUE!</v>
      </c>
      <c r="DY664" s="1533"/>
      <c r="DZ664" s="1533"/>
      <c r="EA664" s="1533"/>
      <c r="EB664" s="1533"/>
      <c r="EC664" s="1533" t="e">
        <f t="shared" si="6"/>
        <v>#VALUE!</v>
      </c>
      <c r="ED664" s="1533"/>
      <c r="EE664" s="1533"/>
      <c r="EF664" s="1533"/>
      <c r="EG664" s="1533"/>
      <c r="EH664" s="1533" t="e">
        <f t="shared" si="7"/>
        <v>#VALUE!</v>
      </c>
      <c r="EI664" s="1533"/>
      <c r="EJ664" s="1533"/>
      <c r="EK664" s="1533"/>
      <c r="EL664" s="1533"/>
      <c r="EM664" s="1533" t="e">
        <f t="shared" si="8"/>
        <v>#VALUE!</v>
      </c>
      <c r="EN664" s="1533"/>
      <c r="EO664" s="1533"/>
      <c r="EP664" s="1533"/>
      <c r="EQ664" s="1533"/>
      <c r="ER664" s="1533" t="e">
        <f t="shared" si="9"/>
        <v>#VALUE!</v>
      </c>
      <c r="ES664" s="1533"/>
      <c r="ET664" s="1533"/>
      <c r="EU664" s="1533"/>
      <c r="EV664" s="1533"/>
      <c r="EW664" s="1533" t="e">
        <f t="shared" si="10"/>
        <v>#VALUE!</v>
      </c>
      <c r="EX664" s="1533"/>
      <c r="EY664" s="1533"/>
      <c r="EZ664" s="1533"/>
      <c r="FA664" s="1533"/>
    </row>
    <row r="665" spans="1:157" ht="12.9" customHeight="1">
      <c r="A665" s="22"/>
      <c r="B665" t="s">
        <v>20</v>
      </c>
      <c r="N665" s="1344" t="s">
        <v>545</v>
      </c>
      <c r="O665" s="1344"/>
      <c r="T665" s="22"/>
      <c r="U665" t="s">
        <v>20</v>
      </c>
      <c r="AG665" s="1344" t="s">
        <v>545</v>
      </c>
      <c r="AH665" s="1344"/>
      <c r="AZ665" s="34"/>
      <c r="BA665" s="34"/>
      <c r="BB665" s="34"/>
      <c r="BC665" s="34"/>
      <c r="BD665" s="34"/>
      <c r="BE665" s="34"/>
      <c r="BF665" s="34"/>
      <c r="BG665" s="34"/>
      <c r="BH665" s="34"/>
      <c r="BI665" s="34"/>
      <c r="BJ665" s="34"/>
      <c r="BK665" s="34"/>
      <c r="BL665" s="34"/>
      <c r="BM665" s="34"/>
      <c r="DX665" s="1533" t="e">
        <f t="shared" si="5"/>
        <v>#VALUE!</v>
      </c>
      <c r="DY665" s="1533"/>
      <c r="DZ665" s="1533"/>
      <c r="EA665" s="1533"/>
      <c r="EB665" s="1533"/>
      <c r="EC665" s="1533" t="e">
        <f t="shared" si="6"/>
        <v>#VALUE!</v>
      </c>
      <c r="ED665" s="1533"/>
      <c r="EE665" s="1533"/>
      <c r="EF665" s="1533"/>
      <c r="EG665" s="1533"/>
      <c r="EH665" s="1533" t="e">
        <f t="shared" si="7"/>
        <v>#VALUE!</v>
      </c>
      <c r="EI665" s="1533"/>
      <c r="EJ665" s="1533"/>
      <c r="EK665" s="1533"/>
      <c r="EL665" s="1533"/>
      <c r="EM665" s="1533" t="e">
        <f t="shared" si="8"/>
        <v>#VALUE!</v>
      </c>
      <c r="EN665" s="1533"/>
      <c r="EO665" s="1533"/>
      <c r="EP665" s="1533"/>
      <c r="EQ665" s="1533"/>
      <c r="ER665" s="1533" t="e">
        <f t="shared" si="9"/>
        <v>#VALUE!</v>
      </c>
      <c r="ES665" s="1533"/>
      <c r="ET665" s="1533"/>
      <c r="EU665" s="1533"/>
      <c r="EV665" s="1533"/>
      <c r="EW665" s="1533" t="e">
        <f t="shared" si="10"/>
        <v>#VALUE!</v>
      </c>
      <c r="EX665" s="1533"/>
      <c r="EY665" s="1533"/>
      <c r="EZ665" s="1533"/>
      <c r="FA665" s="1533"/>
    </row>
    <row r="666" spans="1:157" ht="12.9" customHeight="1">
      <c r="A666" s="22"/>
      <c r="T666" s="22"/>
      <c r="AZ666" s="34"/>
      <c r="BA666" s="34"/>
      <c r="BB666" s="34"/>
      <c r="BC666" s="34"/>
      <c r="BD666" s="34"/>
      <c r="BE666" s="34"/>
      <c r="BF666" s="34"/>
      <c r="BG666" s="34"/>
      <c r="BH666" s="34"/>
      <c r="BI666" s="34"/>
      <c r="BJ666" s="34"/>
      <c r="BK666" s="34"/>
      <c r="BL666" s="34"/>
      <c r="BM666" s="34"/>
      <c r="DX666" s="1533" t="e">
        <f t="shared" si="5"/>
        <v>#VALUE!</v>
      </c>
      <c r="DY666" s="1533"/>
      <c r="DZ666" s="1533"/>
      <c r="EA666" s="1533"/>
      <c r="EB666" s="1533"/>
      <c r="EC666" s="1533" t="e">
        <f t="shared" si="6"/>
        <v>#VALUE!</v>
      </c>
      <c r="ED666" s="1533"/>
      <c r="EE666" s="1533"/>
      <c r="EF666" s="1533"/>
      <c r="EG666" s="1533"/>
      <c r="EH666" s="1533" t="e">
        <f t="shared" si="7"/>
        <v>#VALUE!</v>
      </c>
      <c r="EI666" s="1533"/>
      <c r="EJ666" s="1533"/>
      <c r="EK666" s="1533"/>
      <c r="EL666" s="1533"/>
      <c r="EM666" s="1533" t="e">
        <f t="shared" si="8"/>
        <v>#VALUE!</v>
      </c>
      <c r="EN666" s="1533"/>
      <c r="EO666" s="1533"/>
      <c r="EP666" s="1533"/>
      <c r="EQ666" s="1533"/>
      <c r="ER666" s="1533" t="e">
        <f t="shared" si="9"/>
        <v>#VALUE!</v>
      </c>
      <c r="ES666" s="1533"/>
      <c r="ET666" s="1533"/>
      <c r="EU666" s="1533"/>
      <c r="EV666" s="1533"/>
      <c r="EW666" s="1533" t="e">
        <f t="shared" si="10"/>
        <v>#VALUE!</v>
      </c>
      <c r="EX666" s="1533"/>
      <c r="EY666" s="1533"/>
      <c r="EZ666" s="1533"/>
      <c r="FA666" s="1533"/>
    </row>
    <row r="667" spans="1:157" ht="12.9" customHeight="1">
      <c r="A667" s="55" t="s">
        <v>763</v>
      </c>
      <c r="B667" t="s">
        <v>463</v>
      </c>
      <c r="G667" s="1474">
        <f>C639</f>
        <v>0</v>
      </c>
      <c r="H667" s="1474"/>
      <c r="I667" s="1474"/>
      <c r="J667" s="1474"/>
      <c r="K667" s="1474"/>
      <c r="L667" s="1474"/>
      <c r="M667" s="1474"/>
      <c r="N667" s="1474"/>
      <c r="O667" s="1474"/>
      <c r="P667" s="1474"/>
      <c r="Q667" s="1474"/>
      <c r="R667" s="1474"/>
      <c r="T667" s="55" t="s">
        <v>584</v>
      </c>
      <c r="U667" t="s">
        <v>463</v>
      </c>
      <c r="Z667" s="1474">
        <f>C640</f>
        <v>0</v>
      </c>
      <c r="AA667" s="1474"/>
      <c r="AB667" s="1474"/>
      <c r="AC667" s="1474"/>
      <c r="AD667" s="1474"/>
      <c r="AE667" s="1474"/>
      <c r="AF667" s="1474"/>
      <c r="AG667" s="1474"/>
      <c r="AH667" s="1474"/>
      <c r="AI667" s="1474"/>
      <c r="AJ667" s="1474"/>
      <c r="AK667" s="1474"/>
      <c r="AZ667" s="34"/>
      <c r="BA667" s="34"/>
      <c r="BB667" s="34"/>
      <c r="BC667" s="34"/>
      <c r="BD667" s="34"/>
      <c r="BE667" s="34"/>
      <c r="BF667" s="34"/>
      <c r="BG667" s="34"/>
      <c r="BH667" s="34"/>
      <c r="BI667" s="34"/>
      <c r="BJ667" s="34"/>
      <c r="BK667" s="34"/>
      <c r="BL667" s="34"/>
      <c r="BM667" s="34"/>
      <c r="DX667" s="1533" t="e">
        <f t="shared" si="5"/>
        <v>#VALUE!</v>
      </c>
      <c r="DY667" s="1533"/>
      <c r="DZ667" s="1533"/>
      <c r="EA667" s="1533"/>
      <c r="EB667" s="1533"/>
      <c r="EC667" s="1533" t="e">
        <f t="shared" si="6"/>
        <v>#VALUE!</v>
      </c>
      <c r="ED667" s="1533"/>
      <c r="EE667" s="1533"/>
      <c r="EF667" s="1533"/>
      <c r="EG667" s="1533"/>
      <c r="EH667" s="1533" t="e">
        <f t="shared" si="7"/>
        <v>#VALUE!</v>
      </c>
      <c r="EI667" s="1533"/>
      <c r="EJ667" s="1533"/>
      <c r="EK667" s="1533"/>
      <c r="EL667" s="1533"/>
      <c r="EM667" s="1533" t="e">
        <f t="shared" si="8"/>
        <v>#VALUE!</v>
      </c>
      <c r="EN667" s="1533"/>
      <c r="EO667" s="1533"/>
      <c r="EP667" s="1533"/>
      <c r="EQ667" s="1533"/>
      <c r="ER667" s="1533" t="e">
        <f t="shared" si="9"/>
        <v>#VALUE!</v>
      </c>
      <c r="ES667" s="1533"/>
      <c r="ET667" s="1533"/>
      <c r="EU667" s="1533"/>
      <c r="EV667" s="1533"/>
      <c r="EW667" s="1533" t="e">
        <f t="shared" si="10"/>
        <v>#VALUE!</v>
      </c>
      <c r="EX667" s="1533"/>
      <c r="EY667" s="1533"/>
      <c r="EZ667" s="1533"/>
      <c r="FA667" s="1533"/>
    </row>
    <row r="668" spans="1:157" ht="12.9" customHeight="1">
      <c r="A668" s="22"/>
      <c r="B668" t="s">
        <v>85</v>
      </c>
      <c r="G668" s="1468"/>
      <c r="H668" s="1468"/>
      <c r="I668" s="1468"/>
      <c r="J668" s="1468"/>
      <c r="K668" s="1468"/>
      <c r="L668" s="1468"/>
      <c r="M668" s="1468"/>
      <c r="N668" s="1468"/>
      <c r="O668" s="1468"/>
      <c r="P668" s="1468"/>
      <c r="Q668" s="1468"/>
      <c r="R668" s="1468"/>
      <c r="T668" s="22"/>
      <c r="U668" t="s">
        <v>85</v>
      </c>
      <c r="Z668" s="1468"/>
      <c r="AA668" s="1468"/>
      <c r="AB668" s="1468"/>
      <c r="AC668" s="1468"/>
      <c r="AD668" s="1468"/>
      <c r="AE668" s="1468"/>
      <c r="AF668" s="1468"/>
      <c r="AG668" s="1468"/>
      <c r="AH668" s="1468"/>
      <c r="AI668" s="1468"/>
      <c r="AJ668" s="1468"/>
      <c r="AK668" s="1468"/>
      <c r="AZ668" s="34"/>
      <c r="BA668" s="34"/>
      <c r="BB668" s="34"/>
      <c r="BC668" s="34"/>
      <c r="BD668" s="34"/>
      <c r="BE668" s="34"/>
      <c r="BF668" s="34"/>
      <c r="BG668" s="34"/>
      <c r="BH668" s="34"/>
      <c r="BI668" s="34"/>
      <c r="BJ668" s="34"/>
      <c r="BK668" s="34"/>
      <c r="BL668" s="34"/>
      <c r="BM668" s="34"/>
      <c r="DX668" s="1533" t="e">
        <f t="shared" si="5"/>
        <v>#VALUE!</v>
      </c>
      <c r="DY668" s="1533"/>
      <c r="DZ668" s="1533"/>
      <c r="EA668" s="1533"/>
      <c r="EB668" s="1533"/>
      <c r="EC668" s="1533" t="e">
        <f t="shared" si="6"/>
        <v>#VALUE!</v>
      </c>
      <c r="ED668" s="1533"/>
      <c r="EE668" s="1533"/>
      <c r="EF668" s="1533"/>
      <c r="EG668" s="1533"/>
      <c r="EH668" s="1533" t="e">
        <f t="shared" si="7"/>
        <v>#VALUE!</v>
      </c>
      <c r="EI668" s="1533"/>
      <c r="EJ668" s="1533"/>
      <c r="EK668" s="1533"/>
      <c r="EL668" s="1533"/>
      <c r="EM668" s="1533" t="e">
        <f t="shared" si="8"/>
        <v>#VALUE!</v>
      </c>
      <c r="EN668" s="1533"/>
      <c r="EO668" s="1533"/>
      <c r="EP668" s="1533"/>
      <c r="EQ668" s="1533"/>
      <c r="ER668" s="1533" t="e">
        <f t="shared" si="9"/>
        <v>#VALUE!</v>
      </c>
      <c r="ES668" s="1533"/>
      <c r="ET668" s="1533"/>
      <c r="EU668" s="1533"/>
      <c r="EV668" s="1533"/>
      <c r="EW668" s="1533" t="e">
        <f t="shared" si="10"/>
        <v>#VALUE!</v>
      </c>
      <c r="EX668" s="1533"/>
      <c r="EY668" s="1533"/>
      <c r="EZ668" s="1533"/>
      <c r="FA668" s="1533"/>
    </row>
    <row r="669" spans="1:157" ht="12.9" customHeight="1">
      <c r="A669" s="22"/>
      <c r="B669" t="s">
        <v>580</v>
      </c>
      <c r="G669" s="1468"/>
      <c r="H669" s="1468"/>
      <c r="I669" s="1468"/>
      <c r="J669" s="1468"/>
      <c r="K669" s="1468"/>
      <c r="L669" s="1468"/>
      <c r="M669" s="1468"/>
      <c r="N669" s="1468"/>
      <c r="O669" s="1468"/>
      <c r="P669" s="1468"/>
      <c r="Q669" s="1468"/>
      <c r="R669" s="1468"/>
      <c r="T669" s="22"/>
      <c r="U669" t="s">
        <v>580</v>
      </c>
      <c r="Z669" s="1485"/>
      <c r="AA669" s="1485"/>
      <c r="AB669" s="1485"/>
      <c r="AC669" s="1485"/>
      <c r="AD669" s="1485"/>
      <c r="AE669" s="1485"/>
      <c r="AF669" s="1485"/>
      <c r="AG669" s="1485"/>
      <c r="AH669" s="1485"/>
      <c r="AI669" s="1485"/>
      <c r="AJ669" s="1485"/>
      <c r="AK669" s="1485"/>
      <c r="AZ669" s="34"/>
      <c r="BA669" s="34"/>
      <c r="BB669" s="34"/>
      <c r="BC669" s="34"/>
      <c r="BD669" s="34"/>
      <c r="BE669" s="34"/>
      <c r="BF669" s="34"/>
      <c r="BG669" s="34"/>
      <c r="BH669" s="34"/>
      <c r="BI669" s="34"/>
      <c r="BJ669" s="34"/>
      <c r="BK669" s="34"/>
      <c r="BL669" s="34"/>
      <c r="BM669" s="34"/>
      <c r="DX669" s="1533" t="e">
        <f t="shared" si="5"/>
        <v>#VALUE!</v>
      </c>
      <c r="DY669" s="1533"/>
      <c r="DZ669" s="1533"/>
      <c r="EA669" s="1533"/>
      <c r="EB669" s="1533"/>
      <c r="EC669" s="1533" t="e">
        <f t="shared" si="6"/>
        <v>#VALUE!</v>
      </c>
      <c r="ED669" s="1533"/>
      <c r="EE669" s="1533"/>
      <c r="EF669" s="1533"/>
      <c r="EG669" s="1533"/>
      <c r="EH669" s="1533" t="e">
        <f t="shared" si="7"/>
        <v>#VALUE!</v>
      </c>
      <c r="EI669" s="1533"/>
      <c r="EJ669" s="1533"/>
      <c r="EK669" s="1533"/>
      <c r="EL669" s="1533"/>
      <c r="EM669" s="1533" t="e">
        <f t="shared" si="8"/>
        <v>#VALUE!</v>
      </c>
      <c r="EN669" s="1533"/>
      <c r="EO669" s="1533"/>
      <c r="EP669" s="1533"/>
      <c r="EQ669" s="1533"/>
      <c r="ER669" s="1533" t="e">
        <f t="shared" si="9"/>
        <v>#VALUE!</v>
      </c>
      <c r="ES669" s="1533"/>
      <c r="ET669" s="1533"/>
      <c r="EU669" s="1533"/>
      <c r="EV669" s="1533"/>
      <c r="EW669" s="1533" t="e">
        <f t="shared" si="10"/>
        <v>#VALUE!</v>
      </c>
      <c r="EX669" s="1533"/>
      <c r="EY669" s="1533"/>
      <c r="EZ669" s="1533"/>
      <c r="FA669" s="1533"/>
    </row>
    <row r="670" spans="1:157" ht="12.9" customHeight="1">
      <c r="A670" s="22"/>
      <c r="B670" t="s">
        <v>17</v>
      </c>
      <c r="G670" s="1468"/>
      <c r="H670" s="1468"/>
      <c r="I670" s="1468"/>
      <c r="J670" s="1468"/>
      <c r="K670" s="1468"/>
      <c r="L670" s="1468"/>
      <c r="M670" s="1468"/>
      <c r="N670" s="1468"/>
      <c r="O670" s="1468"/>
      <c r="P670" s="1468"/>
      <c r="Q670" s="1468"/>
      <c r="R670" s="1468"/>
      <c r="T670" s="22"/>
      <c r="U670" t="s">
        <v>17</v>
      </c>
      <c r="Z670" s="1485"/>
      <c r="AA670" s="1485"/>
      <c r="AB670" s="1485"/>
      <c r="AC670" s="1485"/>
      <c r="AD670" s="1485"/>
      <c r="AE670" s="1485"/>
      <c r="AF670" s="1485"/>
      <c r="AG670" s="1485"/>
      <c r="AH670" s="1485"/>
      <c r="AI670" s="1485"/>
      <c r="AJ670" s="1485"/>
      <c r="AK670" s="148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3" t="e">
        <f t="shared" si="5"/>
        <v>#VALUE!</v>
      </c>
      <c r="DY670" s="1533"/>
      <c r="DZ670" s="1533"/>
      <c r="EA670" s="1533"/>
      <c r="EB670" s="1533"/>
      <c r="EC670" s="1533" t="e">
        <f t="shared" si="6"/>
        <v>#VALUE!</v>
      </c>
      <c r="ED670" s="1533"/>
      <c r="EE670" s="1533"/>
      <c r="EF670" s="1533"/>
      <c r="EG670" s="1533"/>
      <c r="EH670" s="1533" t="e">
        <f t="shared" si="7"/>
        <v>#VALUE!</v>
      </c>
      <c r="EI670" s="1533"/>
      <c r="EJ670" s="1533"/>
      <c r="EK670" s="1533"/>
      <c r="EL670" s="1533"/>
      <c r="EM670" s="1533" t="e">
        <f t="shared" si="8"/>
        <v>#VALUE!</v>
      </c>
      <c r="EN670" s="1533"/>
      <c r="EO670" s="1533"/>
      <c r="EP670" s="1533"/>
      <c r="EQ670" s="1533"/>
      <c r="ER670" s="1533" t="e">
        <f t="shared" si="9"/>
        <v>#VALUE!</v>
      </c>
      <c r="ES670" s="1533"/>
      <c r="ET670" s="1533"/>
      <c r="EU670" s="1533"/>
      <c r="EV670" s="1533"/>
      <c r="EW670" s="1533" t="e">
        <f t="shared" si="10"/>
        <v>#VALUE!</v>
      </c>
      <c r="EX670" s="1533"/>
      <c r="EY670" s="1533"/>
      <c r="EZ670" s="1533"/>
      <c r="FA670" s="1533"/>
    </row>
    <row r="671" spans="1:157" ht="12.9" customHeight="1">
      <c r="A671" s="22"/>
      <c r="B671" t="s">
        <v>316</v>
      </c>
      <c r="G671" s="1498"/>
      <c r="H671" s="1498"/>
      <c r="I671" s="1498"/>
      <c r="J671" s="1498"/>
      <c r="K671" s="1498"/>
      <c r="L671" s="1498"/>
      <c r="O671" s="33" t="s">
        <v>206</v>
      </c>
      <c r="P671" s="1473"/>
      <c r="Q671" s="1473"/>
      <c r="R671" s="1473"/>
      <c r="T671" s="22"/>
      <c r="U671" t="s">
        <v>316</v>
      </c>
      <c r="Z671" s="1498"/>
      <c r="AA671" s="1498"/>
      <c r="AB671" s="1498"/>
      <c r="AC671" s="1498"/>
      <c r="AD671" s="1498"/>
      <c r="AE671" s="1498"/>
      <c r="AH671" s="33" t="s">
        <v>206</v>
      </c>
      <c r="AI671" s="1473"/>
      <c r="AJ671" s="1473"/>
      <c r="AK671" s="147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3" t="e">
        <f t="shared" si="5"/>
        <v>#VALUE!</v>
      </c>
      <c r="DY671" s="1533"/>
      <c r="DZ671" s="1533"/>
      <c r="EA671" s="1533"/>
      <c r="EB671" s="1533"/>
      <c r="EC671" s="1533" t="e">
        <f t="shared" si="6"/>
        <v>#VALUE!</v>
      </c>
      <c r="ED671" s="1533"/>
      <c r="EE671" s="1533"/>
      <c r="EF671" s="1533"/>
      <c r="EG671" s="1533"/>
      <c r="EH671" s="1533" t="e">
        <f t="shared" si="7"/>
        <v>#VALUE!</v>
      </c>
      <c r="EI671" s="1533"/>
      <c r="EJ671" s="1533"/>
      <c r="EK671" s="1533"/>
      <c r="EL671" s="1533"/>
      <c r="EM671" s="1533" t="e">
        <f t="shared" si="8"/>
        <v>#VALUE!</v>
      </c>
      <c r="EN671" s="1533"/>
      <c r="EO671" s="1533"/>
      <c r="EP671" s="1533"/>
      <c r="EQ671" s="1533"/>
      <c r="ER671" s="1533" t="e">
        <f t="shared" si="9"/>
        <v>#VALUE!</v>
      </c>
      <c r="ES671" s="1533"/>
      <c r="ET671" s="1533"/>
      <c r="EU671" s="1533"/>
      <c r="EV671" s="1533"/>
      <c r="EW671" s="1533" t="e">
        <f t="shared" si="10"/>
        <v>#VALUE!</v>
      </c>
      <c r="EX671" s="1533"/>
      <c r="EY671" s="1533"/>
      <c r="EZ671" s="1533"/>
      <c r="FA671" s="1533"/>
    </row>
    <row r="672" spans="1:157" ht="12.9" customHeight="1">
      <c r="A672" s="22"/>
      <c r="B672" t="s">
        <v>18</v>
      </c>
      <c r="H672" s="1468"/>
      <c r="I672" s="1468"/>
      <c r="J672" s="1468"/>
      <c r="K672" s="1468"/>
      <c r="L672" s="1468"/>
      <c r="M672" s="1468"/>
      <c r="N672" s="1468"/>
      <c r="O672" s="1468"/>
      <c r="P672" s="1468"/>
      <c r="Q672" s="1468"/>
      <c r="R672" s="1468"/>
      <c r="T672" s="22"/>
      <c r="U672" t="s">
        <v>18</v>
      </c>
      <c r="AA672" s="1468"/>
      <c r="AB672" s="1468"/>
      <c r="AC672" s="1468"/>
      <c r="AD672" s="1468"/>
      <c r="AE672" s="1468"/>
      <c r="AF672" s="1468"/>
      <c r="AG672" s="1468"/>
      <c r="AH672" s="1468"/>
      <c r="AI672" s="1468"/>
      <c r="AJ672" s="1468"/>
      <c r="AK672" s="146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3" t="e">
        <f t="shared" si="5"/>
        <v>#VALUE!</v>
      </c>
      <c r="DY672" s="1533"/>
      <c r="DZ672" s="1533"/>
      <c r="EA672" s="1533"/>
      <c r="EB672" s="1533"/>
      <c r="EC672" s="1533" t="e">
        <f t="shared" si="6"/>
        <v>#VALUE!</v>
      </c>
      <c r="ED672" s="1533"/>
      <c r="EE672" s="1533"/>
      <c r="EF672" s="1533"/>
      <c r="EG672" s="1533"/>
      <c r="EH672" s="1533" t="e">
        <f t="shared" si="7"/>
        <v>#VALUE!</v>
      </c>
      <c r="EI672" s="1533"/>
      <c r="EJ672" s="1533"/>
      <c r="EK672" s="1533"/>
      <c r="EL672" s="1533"/>
      <c r="EM672" s="1533" t="e">
        <f t="shared" si="8"/>
        <v>#VALUE!</v>
      </c>
      <c r="EN672" s="1533"/>
      <c r="EO672" s="1533"/>
      <c r="EP672" s="1533"/>
      <c r="EQ672" s="1533"/>
      <c r="ER672" s="1533" t="e">
        <f t="shared" si="9"/>
        <v>#VALUE!</v>
      </c>
      <c r="ES672" s="1533"/>
      <c r="ET672" s="1533"/>
      <c r="EU672" s="1533"/>
      <c r="EV672" s="1533"/>
      <c r="EW672" s="1533" t="e">
        <f t="shared" si="10"/>
        <v>#VALUE!</v>
      </c>
      <c r="EX672" s="1533"/>
      <c r="EY672" s="1533"/>
      <c r="EZ672" s="1533"/>
      <c r="FA672" s="1533"/>
    </row>
    <row r="673" spans="1:157" ht="12.9" customHeight="1">
      <c r="A673" s="22"/>
      <c r="B673" t="s">
        <v>20</v>
      </c>
      <c r="N673" s="1344"/>
      <c r="O673" s="1344"/>
      <c r="T673" s="22"/>
      <c r="U673" t="s">
        <v>20</v>
      </c>
      <c r="AG673" s="1344" t="s">
        <v>669</v>
      </c>
      <c r="AH673" s="134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3" t="e">
        <f t="shared" si="5"/>
        <v>#VALUE!</v>
      </c>
      <c r="DY673" s="1533"/>
      <c r="DZ673" s="1533"/>
      <c r="EA673" s="1533"/>
      <c r="EB673" s="1533"/>
      <c r="EC673" s="1533" t="e">
        <f t="shared" si="6"/>
        <v>#VALUE!</v>
      </c>
      <c r="ED673" s="1533"/>
      <c r="EE673" s="1533"/>
      <c r="EF673" s="1533"/>
      <c r="EG673" s="1533"/>
      <c r="EH673" s="1533" t="e">
        <f t="shared" si="7"/>
        <v>#VALUE!</v>
      </c>
      <c r="EI673" s="1533"/>
      <c r="EJ673" s="1533"/>
      <c r="EK673" s="1533"/>
      <c r="EL673" s="1533"/>
      <c r="EM673" s="1533" t="e">
        <f t="shared" si="8"/>
        <v>#VALUE!</v>
      </c>
      <c r="EN673" s="1533"/>
      <c r="EO673" s="1533"/>
      <c r="EP673" s="1533"/>
      <c r="EQ673" s="1533"/>
      <c r="ER673" s="1533" t="e">
        <f t="shared" si="9"/>
        <v>#VALUE!</v>
      </c>
      <c r="ES673" s="1533"/>
      <c r="ET673" s="1533"/>
      <c r="EU673" s="1533"/>
      <c r="EV673" s="1533"/>
      <c r="EW673" s="1533" t="e">
        <f t="shared" si="10"/>
        <v>#VALUE!</v>
      </c>
      <c r="EX673" s="1533"/>
      <c r="EY673" s="1533"/>
      <c r="EZ673" s="1533"/>
      <c r="FA673" s="1533"/>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3" t="e">
        <f t="shared" si="5"/>
        <v>#VALUE!</v>
      </c>
      <c r="DY674" s="1533"/>
      <c r="DZ674" s="1533"/>
      <c r="EA674" s="1533"/>
      <c r="EB674" s="1533"/>
      <c r="EC674" s="1533" t="e">
        <f t="shared" si="6"/>
        <v>#VALUE!</v>
      </c>
      <c r="ED674" s="1533"/>
      <c r="EE674" s="1533"/>
      <c r="EF674" s="1533"/>
      <c r="EG674" s="1533"/>
      <c r="EH674" s="1533" t="e">
        <f t="shared" si="7"/>
        <v>#VALUE!</v>
      </c>
      <c r="EI674" s="1533"/>
      <c r="EJ674" s="1533"/>
      <c r="EK674" s="1533"/>
      <c r="EL674" s="1533"/>
      <c r="EM674" s="1533" t="e">
        <f t="shared" si="8"/>
        <v>#VALUE!</v>
      </c>
      <c r="EN674" s="1533"/>
      <c r="EO674" s="1533"/>
      <c r="EP674" s="1533"/>
      <c r="EQ674" s="1533"/>
      <c r="ER674" s="1533" t="e">
        <f t="shared" si="9"/>
        <v>#VALUE!</v>
      </c>
      <c r="ES674" s="1533"/>
      <c r="ET674" s="1533"/>
      <c r="EU674" s="1533"/>
      <c r="EV674" s="1533"/>
      <c r="EW674" s="1533" t="e">
        <f t="shared" si="10"/>
        <v>#VALUE!</v>
      </c>
      <c r="EX674" s="1533"/>
      <c r="EY674" s="1533"/>
      <c r="EZ674" s="1533"/>
      <c r="FA674" s="1533"/>
    </row>
    <row r="675" spans="1:157" ht="12.9" customHeight="1">
      <c r="A675" s="55" t="s">
        <v>455</v>
      </c>
      <c r="B675" t="s">
        <v>463</v>
      </c>
      <c r="G675" s="1474">
        <f>C641</f>
        <v>0</v>
      </c>
      <c r="H675" s="1474"/>
      <c r="I675" s="1474"/>
      <c r="J675" s="1474"/>
      <c r="K675" s="1474"/>
      <c r="L675" s="1474"/>
      <c r="M675" s="1474"/>
      <c r="N675" s="1474"/>
      <c r="O675" s="1474"/>
      <c r="P675" s="1474"/>
      <c r="Q675" s="1474"/>
      <c r="R675" s="1474"/>
      <c r="T675" s="55" t="s">
        <v>456</v>
      </c>
      <c r="U675" t="s">
        <v>463</v>
      </c>
      <c r="Z675" s="1474">
        <f>C642</f>
        <v>0</v>
      </c>
      <c r="AA675" s="1474"/>
      <c r="AB675" s="1474"/>
      <c r="AC675" s="1474"/>
      <c r="AD675" s="1474"/>
      <c r="AE675" s="1474"/>
      <c r="AF675" s="1474"/>
      <c r="AG675" s="1474"/>
      <c r="AH675" s="1474"/>
      <c r="AI675" s="1474"/>
      <c r="AJ675" s="1474"/>
      <c r="AK675" s="147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3" t="e">
        <f t="shared" si="5"/>
        <v>#VALUE!</v>
      </c>
      <c r="DY675" s="1533"/>
      <c r="DZ675" s="1533"/>
      <c r="EA675" s="1533"/>
      <c r="EB675" s="1533"/>
      <c r="EC675" s="1533" t="e">
        <f t="shared" si="6"/>
        <v>#VALUE!</v>
      </c>
      <c r="ED675" s="1533"/>
      <c r="EE675" s="1533"/>
      <c r="EF675" s="1533"/>
      <c r="EG675" s="1533"/>
      <c r="EH675" s="1533" t="e">
        <f t="shared" si="7"/>
        <v>#VALUE!</v>
      </c>
      <c r="EI675" s="1533"/>
      <c r="EJ675" s="1533"/>
      <c r="EK675" s="1533"/>
      <c r="EL675" s="1533"/>
      <c r="EM675" s="1533" t="e">
        <f t="shared" si="8"/>
        <v>#VALUE!</v>
      </c>
      <c r="EN675" s="1533"/>
      <c r="EO675" s="1533"/>
      <c r="EP675" s="1533"/>
      <c r="EQ675" s="1533"/>
      <c r="ER675" s="1533" t="e">
        <f t="shared" si="9"/>
        <v>#VALUE!</v>
      </c>
      <c r="ES675" s="1533"/>
      <c r="ET675" s="1533"/>
      <c r="EU675" s="1533"/>
      <c r="EV675" s="1533"/>
      <c r="EW675" s="1533" t="e">
        <f t="shared" si="10"/>
        <v>#VALUE!</v>
      </c>
      <c r="EX675" s="1533"/>
      <c r="EY675" s="1533"/>
      <c r="EZ675" s="1533"/>
      <c r="FA675" s="1533"/>
    </row>
    <row r="676" spans="1:157" ht="12.9" customHeight="1">
      <c r="A676" s="22"/>
      <c r="B676" t="s">
        <v>85</v>
      </c>
      <c r="G676" s="1468"/>
      <c r="H676" s="1468"/>
      <c r="I676" s="1468"/>
      <c r="J676" s="1468"/>
      <c r="K676" s="1468"/>
      <c r="L676" s="1468"/>
      <c r="M676" s="1468"/>
      <c r="N676" s="1468"/>
      <c r="O676" s="1468"/>
      <c r="P676" s="1468"/>
      <c r="Q676" s="1468"/>
      <c r="R676" s="1468"/>
      <c r="T676" s="22"/>
      <c r="U676" t="s">
        <v>85</v>
      </c>
      <c r="Z676" s="1468"/>
      <c r="AA676" s="1468"/>
      <c r="AB676" s="1468"/>
      <c r="AC676" s="1468"/>
      <c r="AD676" s="1468"/>
      <c r="AE676" s="1468"/>
      <c r="AF676" s="1468"/>
      <c r="AG676" s="1468"/>
      <c r="AH676" s="1468"/>
      <c r="AI676" s="1468"/>
      <c r="AJ676" s="1468"/>
      <c r="AK676" s="146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3" t="e">
        <f t="shared" si="5"/>
        <v>#VALUE!</v>
      </c>
      <c r="DY676" s="1533"/>
      <c r="DZ676" s="1533"/>
      <c r="EA676" s="1533"/>
      <c r="EB676" s="1533"/>
      <c r="EC676" s="1533" t="e">
        <f t="shared" si="6"/>
        <v>#VALUE!</v>
      </c>
      <c r="ED676" s="1533"/>
      <c r="EE676" s="1533"/>
      <c r="EF676" s="1533"/>
      <c r="EG676" s="1533"/>
      <c r="EH676" s="1533" t="e">
        <f t="shared" si="7"/>
        <v>#VALUE!</v>
      </c>
      <c r="EI676" s="1533"/>
      <c r="EJ676" s="1533"/>
      <c r="EK676" s="1533"/>
      <c r="EL676" s="1533"/>
      <c r="EM676" s="1533" t="e">
        <f t="shared" si="8"/>
        <v>#VALUE!</v>
      </c>
      <c r="EN676" s="1533"/>
      <c r="EO676" s="1533"/>
      <c r="EP676" s="1533"/>
      <c r="EQ676" s="1533"/>
      <c r="ER676" s="1533" t="e">
        <f t="shared" si="9"/>
        <v>#VALUE!</v>
      </c>
      <c r="ES676" s="1533"/>
      <c r="ET676" s="1533"/>
      <c r="EU676" s="1533"/>
      <c r="EV676" s="1533"/>
      <c r="EW676" s="1533" t="e">
        <f t="shared" si="10"/>
        <v>#VALUE!</v>
      </c>
      <c r="EX676" s="1533"/>
      <c r="EY676" s="1533"/>
      <c r="EZ676" s="1533"/>
      <c r="FA676" s="1533"/>
    </row>
    <row r="677" spans="1:157" ht="12.9" customHeight="1">
      <c r="A677" s="22"/>
      <c r="B677" t="s">
        <v>580</v>
      </c>
      <c r="G677" s="1468"/>
      <c r="H677" s="1468"/>
      <c r="I677" s="1468"/>
      <c r="J677" s="1468"/>
      <c r="K677" s="1468"/>
      <c r="L677" s="1468"/>
      <c r="M677" s="1468"/>
      <c r="N677" s="1468"/>
      <c r="O677" s="1468"/>
      <c r="P677" s="1468"/>
      <c r="Q677" s="1468"/>
      <c r="R677" s="1468"/>
      <c r="T677" s="22"/>
      <c r="U677" t="s">
        <v>580</v>
      </c>
      <c r="Z677" s="1485"/>
      <c r="AA677" s="1485"/>
      <c r="AB677" s="1485"/>
      <c r="AC677" s="1485"/>
      <c r="AD677" s="1485"/>
      <c r="AE677" s="1485"/>
      <c r="AF677" s="1485"/>
      <c r="AG677" s="1485"/>
      <c r="AH677" s="1485"/>
      <c r="AI677" s="1485"/>
      <c r="AJ677" s="1485"/>
      <c r="AK677" s="148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3" t="e">
        <f t="shared" si="5"/>
        <v>#VALUE!</v>
      </c>
      <c r="DY677" s="1533"/>
      <c r="DZ677" s="1533"/>
      <c r="EA677" s="1533"/>
      <c r="EB677" s="1533"/>
      <c r="EC677" s="1533" t="e">
        <f t="shared" si="6"/>
        <v>#VALUE!</v>
      </c>
      <c r="ED677" s="1533"/>
      <c r="EE677" s="1533"/>
      <c r="EF677" s="1533"/>
      <c r="EG677" s="1533"/>
      <c r="EH677" s="1533" t="e">
        <f t="shared" si="7"/>
        <v>#VALUE!</v>
      </c>
      <c r="EI677" s="1533"/>
      <c r="EJ677" s="1533"/>
      <c r="EK677" s="1533"/>
      <c r="EL677" s="1533"/>
      <c r="EM677" s="1533" t="e">
        <f t="shared" si="8"/>
        <v>#VALUE!</v>
      </c>
      <c r="EN677" s="1533"/>
      <c r="EO677" s="1533"/>
      <c r="EP677" s="1533"/>
      <c r="EQ677" s="1533"/>
      <c r="ER677" s="1533" t="e">
        <f t="shared" si="9"/>
        <v>#VALUE!</v>
      </c>
      <c r="ES677" s="1533"/>
      <c r="ET677" s="1533"/>
      <c r="EU677" s="1533"/>
      <c r="EV677" s="1533"/>
      <c r="EW677" s="1533" t="e">
        <f t="shared" si="10"/>
        <v>#VALUE!</v>
      </c>
      <c r="EX677" s="1533"/>
      <c r="EY677" s="1533"/>
      <c r="EZ677" s="1533"/>
      <c r="FA677" s="1533"/>
    </row>
    <row r="678" spans="1:157" ht="12.9" customHeight="1">
      <c r="A678" s="22"/>
      <c r="B678" t="s">
        <v>17</v>
      </c>
      <c r="G678" s="1468"/>
      <c r="H678" s="1468"/>
      <c r="I678" s="1468"/>
      <c r="J678" s="1468"/>
      <c r="K678" s="1468"/>
      <c r="L678" s="1468"/>
      <c r="M678" s="1468"/>
      <c r="N678" s="1468"/>
      <c r="O678" s="1468"/>
      <c r="P678" s="1468"/>
      <c r="Q678" s="1468"/>
      <c r="R678" s="1468"/>
      <c r="T678" s="22"/>
      <c r="U678" t="s">
        <v>17</v>
      </c>
      <c r="Z678" s="1485"/>
      <c r="AA678" s="1485"/>
      <c r="AB678" s="1485"/>
      <c r="AC678" s="1485"/>
      <c r="AD678" s="1485"/>
      <c r="AE678" s="1485"/>
      <c r="AF678" s="1485"/>
      <c r="AG678" s="1485"/>
      <c r="AH678" s="1485"/>
      <c r="AI678" s="1485"/>
      <c r="AJ678" s="1485"/>
      <c r="AK678" s="148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3">
        <f>SUMIF(DX643:EB677,"&gt;0")</f>
        <v>795</v>
      </c>
      <c r="DY678" s="1533"/>
      <c r="DZ678" s="1533"/>
      <c r="EA678" s="1533"/>
      <c r="EB678" s="1533"/>
      <c r="EC678" s="1533">
        <f>SUMIF(EC643:EG677,"&gt;0")</f>
        <v>852</v>
      </c>
      <c r="ED678" s="1533"/>
      <c r="EE678" s="1533"/>
      <c r="EF678" s="1533"/>
      <c r="EG678" s="1533"/>
      <c r="EH678" s="1533">
        <f>SUMIF(EH643:EL677,"&gt;0")</f>
        <v>1022</v>
      </c>
      <c r="EI678" s="1533"/>
      <c r="EJ678" s="1533"/>
      <c r="EK678" s="1533"/>
      <c r="EL678" s="1533"/>
      <c r="EM678" s="1533">
        <f>SUMIF(EM643:EQ677,"&gt;0")</f>
        <v>0</v>
      </c>
      <c r="EN678" s="1533"/>
      <c r="EO678" s="1533"/>
      <c r="EP678" s="1533"/>
      <c r="EQ678" s="1533"/>
      <c r="ER678" s="1533">
        <f>SUMIF(ER643:EV677,"&gt;0")</f>
        <v>0</v>
      </c>
      <c r="ES678" s="1533"/>
      <c r="ET678" s="1533"/>
      <c r="EU678" s="1533"/>
      <c r="EV678" s="1533"/>
      <c r="EW678" s="1533">
        <f>SUMIF(EW643:FA677,"&gt;0")</f>
        <v>0</v>
      </c>
      <c r="EX678" s="1533"/>
      <c r="EY678" s="1533"/>
      <c r="EZ678" s="1533"/>
      <c r="FA678" s="1533"/>
    </row>
    <row r="679" spans="1:157" ht="12.9" customHeight="1">
      <c r="A679" s="22"/>
      <c r="B679" t="s">
        <v>316</v>
      </c>
      <c r="G679" s="1498"/>
      <c r="H679" s="1498"/>
      <c r="I679" s="1498"/>
      <c r="J679" s="1498"/>
      <c r="K679" s="1498"/>
      <c r="L679" s="1498"/>
      <c r="O679" s="33" t="s">
        <v>206</v>
      </c>
      <c r="P679" s="1473"/>
      <c r="Q679" s="1473"/>
      <c r="R679" s="1473"/>
      <c r="T679" s="22"/>
      <c r="U679" t="s">
        <v>316</v>
      </c>
      <c r="Z679" s="1498"/>
      <c r="AA679" s="1498"/>
      <c r="AB679" s="1498"/>
      <c r="AC679" s="1498"/>
      <c r="AD679" s="1498"/>
      <c r="AE679" s="1498"/>
      <c r="AH679" s="33" t="s">
        <v>206</v>
      </c>
      <c r="AI679" s="1473"/>
      <c r="AJ679" s="1473"/>
      <c r="AK679" s="147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68"/>
      <c r="I680" s="1468"/>
      <c r="J680" s="1468"/>
      <c r="K680" s="1468"/>
      <c r="L680" s="1468"/>
      <c r="M680" s="1468"/>
      <c r="N680" s="1468"/>
      <c r="O680" s="1468"/>
      <c r="P680" s="1468"/>
      <c r="Q680" s="1468"/>
      <c r="R680" s="1468"/>
      <c r="T680" s="22"/>
      <c r="U680" t="s">
        <v>18</v>
      </c>
      <c r="AA680" s="1468"/>
      <c r="AB680" s="1468"/>
      <c r="AC680" s="1468"/>
      <c r="AD680" s="1468"/>
      <c r="AE680" s="1468"/>
      <c r="AF680" s="1468"/>
      <c r="AG680" s="1468"/>
      <c r="AH680" s="1468"/>
      <c r="AI680" s="1468"/>
      <c r="AJ680" s="1468"/>
      <c r="AK680" s="146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44" t="s">
        <v>669</v>
      </c>
      <c r="O681" s="1344"/>
      <c r="T681" s="22"/>
      <c r="U681" t="s">
        <v>20</v>
      </c>
      <c r="AG681" s="1344" t="s">
        <v>669</v>
      </c>
      <c r="AH681" s="1344"/>
      <c r="AZ681" s="3"/>
    </row>
    <row r="682" spans="1:157" ht="12.9" customHeight="1">
      <c r="A682" s="22"/>
      <c r="T682" s="22"/>
      <c r="AZ682" s="3"/>
    </row>
    <row r="683" spans="1:157" ht="12.9" customHeight="1">
      <c r="A683" s="55" t="s">
        <v>461</v>
      </c>
      <c r="B683" t="s">
        <v>463</v>
      </c>
      <c r="G683" s="1474">
        <f>C643</f>
        <v>0</v>
      </c>
      <c r="H683" s="1474"/>
      <c r="I683" s="1474"/>
      <c r="J683" s="1474"/>
      <c r="K683" s="1474"/>
      <c r="L683" s="1474"/>
      <c r="M683" s="1474"/>
      <c r="N683" s="1474"/>
      <c r="O683" s="1474"/>
      <c r="P683" s="1474"/>
      <c r="Q683" s="1474"/>
      <c r="R683" s="1474"/>
      <c r="T683" s="55" t="s">
        <v>646</v>
      </c>
      <c r="U683" t="s">
        <v>463</v>
      </c>
      <c r="Z683" s="1474">
        <f>C644</f>
        <v>0</v>
      </c>
      <c r="AA683" s="1474"/>
      <c r="AB683" s="1474"/>
      <c r="AC683" s="1474"/>
      <c r="AD683" s="1474"/>
      <c r="AE683" s="1474"/>
      <c r="AF683" s="1474"/>
      <c r="AG683" s="1474"/>
      <c r="AH683" s="1474"/>
      <c r="AI683" s="1474"/>
      <c r="AJ683" s="1474"/>
      <c r="AK683" s="1474"/>
      <c r="AZ683" s="3"/>
    </row>
    <row r="684" spans="1:157" ht="12.9" customHeight="1">
      <c r="A684" s="22"/>
      <c r="B684" t="s">
        <v>85</v>
      </c>
      <c r="G684" s="1468"/>
      <c r="H684" s="1468"/>
      <c r="I684" s="1468"/>
      <c r="J684" s="1468"/>
      <c r="K684" s="1468"/>
      <c r="L684" s="1468"/>
      <c r="M684" s="1468"/>
      <c r="N684" s="1468"/>
      <c r="O684" s="1468"/>
      <c r="P684" s="1468"/>
      <c r="Q684" s="1468"/>
      <c r="R684" s="1468"/>
      <c r="T684" s="22"/>
      <c r="U684" t="s">
        <v>85</v>
      </c>
      <c r="Z684" s="1468"/>
      <c r="AA684" s="1468"/>
      <c r="AB684" s="1468"/>
      <c r="AC684" s="1468"/>
      <c r="AD684" s="1468"/>
      <c r="AE684" s="1468"/>
      <c r="AF684" s="1468"/>
      <c r="AG684" s="1468"/>
      <c r="AH684" s="1468"/>
      <c r="AI684" s="1468"/>
      <c r="AJ684" s="1468"/>
      <c r="AK684" s="1468"/>
      <c r="AZ684" s="3"/>
    </row>
    <row r="685" spans="1:157" ht="12.9" customHeight="1">
      <c r="A685" s="22"/>
      <c r="B685" t="s">
        <v>580</v>
      </c>
      <c r="G685" s="1468"/>
      <c r="H685" s="1468"/>
      <c r="I685" s="1468"/>
      <c r="J685" s="1468"/>
      <c r="K685" s="1468"/>
      <c r="L685" s="1468"/>
      <c r="M685" s="1468"/>
      <c r="N685" s="1468"/>
      <c r="O685" s="1468"/>
      <c r="P685" s="1468"/>
      <c r="Q685" s="1468"/>
      <c r="R685" s="1468"/>
      <c r="T685" s="22"/>
      <c r="U685" t="s">
        <v>580</v>
      </c>
      <c r="Z685" s="1485"/>
      <c r="AA685" s="1485"/>
      <c r="AB685" s="1485"/>
      <c r="AC685" s="1485"/>
      <c r="AD685" s="1485"/>
      <c r="AE685" s="1485"/>
      <c r="AF685" s="1485"/>
      <c r="AG685" s="1485"/>
      <c r="AH685" s="1485"/>
      <c r="AI685" s="1485"/>
      <c r="AJ685" s="1485"/>
      <c r="AK685" s="1485"/>
      <c r="AZ685" s="3"/>
    </row>
    <row r="686" spans="1:157" ht="12.9" customHeight="1">
      <c r="A686" s="22"/>
      <c r="B686" t="s">
        <v>17</v>
      </c>
      <c r="G686" s="1468"/>
      <c r="H686" s="1468"/>
      <c r="I686" s="1468"/>
      <c r="J686" s="1468"/>
      <c r="K686" s="1468"/>
      <c r="L686" s="1468"/>
      <c r="M686" s="1468"/>
      <c r="N686" s="1468"/>
      <c r="O686" s="1468"/>
      <c r="P686" s="1468"/>
      <c r="Q686" s="1468"/>
      <c r="R686" s="1468"/>
      <c r="T686" s="22"/>
      <c r="U686" t="s">
        <v>17</v>
      </c>
      <c r="Z686" s="1485"/>
      <c r="AA686" s="1485"/>
      <c r="AB686" s="1485"/>
      <c r="AC686" s="1485"/>
      <c r="AD686" s="1485"/>
      <c r="AE686" s="1485"/>
      <c r="AF686" s="1485"/>
      <c r="AG686" s="1485"/>
      <c r="AH686" s="1485"/>
      <c r="AI686" s="1485"/>
      <c r="AJ686" s="1485"/>
      <c r="AK686" s="1485"/>
      <c r="AZ686" s="3"/>
    </row>
    <row r="687" spans="1:157" ht="12.9" customHeight="1">
      <c r="A687" s="22"/>
      <c r="B687" t="s">
        <v>316</v>
      </c>
      <c r="G687" s="1498"/>
      <c r="H687" s="1498"/>
      <c r="I687" s="1498"/>
      <c r="J687" s="1498"/>
      <c r="K687" s="1498"/>
      <c r="L687" s="1498"/>
      <c r="O687" s="33" t="s">
        <v>206</v>
      </c>
      <c r="P687" s="1473"/>
      <c r="Q687" s="1473"/>
      <c r="R687" s="1473"/>
      <c r="T687" s="22"/>
      <c r="U687" t="s">
        <v>316</v>
      </c>
      <c r="Z687" s="1498"/>
      <c r="AA687" s="1498"/>
      <c r="AB687" s="1498"/>
      <c r="AC687" s="1498"/>
      <c r="AD687" s="1498"/>
      <c r="AE687" s="1498"/>
      <c r="AH687" s="33" t="s">
        <v>206</v>
      </c>
      <c r="AI687" s="1473"/>
      <c r="AJ687" s="1473"/>
      <c r="AK687" s="1473"/>
      <c r="AZ687" s="3"/>
    </row>
    <row r="688" spans="1:157" ht="12.9" customHeight="1">
      <c r="A688" s="22"/>
      <c r="B688" t="s">
        <v>18</v>
      </c>
      <c r="H688" s="1468"/>
      <c r="I688" s="1468"/>
      <c r="J688" s="1468"/>
      <c r="K688" s="1468"/>
      <c r="L688" s="1468"/>
      <c r="M688" s="1468"/>
      <c r="N688" s="1468"/>
      <c r="O688" s="1468"/>
      <c r="P688" s="1468"/>
      <c r="Q688" s="1468"/>
      <c r="R688" s="1468"/>
      <c r="T688" s="22"/>
      <c r="U688" t="s">
        <v>18</v>
      </c>
      <c r="AA688" s="1468"/>
      <c r="AB688" s="1468"/>
      <c r="AC688" s="1468"/>
      <c r="AD688" s="1468"/>
      <c r="AE688" s="1468"/>
      <c r="AF688" s="1468"/>
      <c r="AG688" s="1468"/>
      <c r="AH688" s="1468"/>
      <c r="AI688" s="1468"/>
      <c r="AJ688" s="1468"/>
      <c r="AK688" s="1468"/>
      <c r="AZ688" s="3"/>
    </row>
    <row r="689" spans="1:52" ht="12.9" customHeight="1">
      <c r="A689" s="22"/>
      <c r="B689" t="s">
        <v>20</v>
      </c>
      <c r="N689" s="1344" t="s">
        <v>669</v>
      </c>
      <c r="O689" s="1344"/>
      <c r="T689" s="22"/>
      <c r="U689" t="s">
        <v>20</v>
      </c>
      <c r="AG689" s="1344" t="s">
        <v>669</v>
      </c>
      <c r="AH689" s="1344"/>
      <c r="AZ689" s="3"/>
    </row>
    <row r="690" spans="1:52" ht="12.9" customHeight="1">
      <c r="A690" s="22"/>
      <c r="T690" s="22"/>
      <c r="AZ690" s="3"/>
    </row>
    <row r="691" spans="1:52" ht="12.9" customHeight="1">
      <c r="A691" s="55" t="s">
        <v>362</v>
      </c>
      <c r="B691" t="s">
        <v>463</v>
      </c>
      <c r="G691" s="1474">
        <f>C645</f>
        <v>0</v>
      </c>
      <c r="H691" s="1474"/>
      <c r="I691" s="1474"/>
      <c r="J691" s="1474"/>
      <c r="K691" s="1474"/>
      <c r="L691" s="1474"/>
      <c r="M691" s="1474"/>
      <c r="N691" s="1474"/>
      <c r="O691" s="1474"/>
      <c r="P691" s="1474"/>
      <c r="Q691" s="1474"/>
      <c r="R691" s="1474"/>
      <c r="T691" s="55" t="s">
        <v>363</v>
      </c>
      <c r="U691" t="s">
        <v>463</v>
      </c>
      <c r="Z691" s="1474">
        <f>C646</f>
        <v>0</v>
      </c>
      <c r="AA691" s="1474"/>
      <c r="AB691" s="1474"/>
      <c r="AC691" s="1474"/>
      <c r="AD691" s="1474"/>
      <c r="AE691" s="1474"/>
      <c r="AF691" s="1474"/>
      <c r="AG691" s="1474"/>
      <c r="AH691" s="1474"/>
      <c r="AI691" s="1474"/>
      <c r="AJ691" s="1474"/>
      <c r="AK691" s="1474"/>
      <c r="AZ691" s="3"/>
    </row>
    <row r="692" spans="1:52" ht="12.9" customHeight="1">
      <c r="B692" t="s">
        <v>85</v>
      </c>
      <c r="G692" s="1468"/>
      <c r="H692" s="1468"/>
      <c r="I692" s="1468"/>
      <c r="J692" s="1468"/>
      <c r="K692" s="1468"/>
      <c r="L692" s="1468"/>
      <c r="M692" s="1468"/>
      <c r="N692" s="1468"/>
      <c r="O692" s="1468"/>
      <c r="P692" s="1468"/>
      <c r="Q692" s="1468"/>
      <c r="R692" s="1468"/>
      <c r="T692" s="22"/>
      <c r="U692" t="s">
        <v>85</v>
      </c>
      <c r="Z692" s="1468"/>
      <c r="AA692" s="1468"/>
      <c r="AB692" s="1468"/>
      <c r="AC692" s="1468"/>
      <c r="AD692" s="1468"/>
      <c r="AE692" s="1468"/>
      <c r="AF692" s="1468"/>
      <c r="AG692" s="1468"/>
      <c r="AH692" s="1468"/>
      <c r="AI692" s="1468"/>
      <c r="AJ692" s="1468"/>
      <c r="AK692" s="1468"/>
      <c r="AZ692" s="3"/>
    </row>
    <row r="693" spans="1:52" ht="12.9" customHeight="1">
      <c r="B693" t="s">
        <v>580</v>
      </c>
      <c r="G693" s="1468"/>
      <c r="H693" s="1468"/>
      <c r="I693" s="1468"/>
      <c r="J693" s="1468"/>
      <c r="K693" s="1468"/>
      <c r="L693" s="1468"/>
      <c r="M693" s="1468"/>
      <c r="N693" s="1468"/>
      <c r="O693" s="1468"/>
      <c r="P693" s="1468"/>
      <c r="Q693" s="1468"/>
      <c r="R693" s="1468"/>
      <c r="U693" t="s">
        <v>580</v>
      </c>
      <c r="Z693" s="1485"/>
      <c r="AA693" s="1485"/>
      <c r="AB693" s="1485"/>
      <c r="AC693" s="1485"/>
      <c r="AD693" s="1485"/>
      <c r="AE693" s="1485"/>
      <c r="AF693" s="1485"/>
      <c r="AG693" s="1485"/>
      <c r="AH693" s="1485"/>
      <c r="AI693" s="1485"/>
      <c r="AJ693" s="1485"/>
      <c r="AK693" s="1485"/>
      <c r="AZ693" s="3"/>
    </row>
    <row r="694" spans="1:52" ht="12.9" customHeight="1">
      <c r="B694" t="s">
        <v>17</v>
      </c>
      <c r="G694" s="1468"/>
      <c r="H694" s="1468"/>
      <c r="I694" s="1468"/>
      <c r="J694" s="1468"/>
      <c r="K694" s="1468"/>
      <c r="L694" s="1468"/>
      <c r="M694" s="1468"/>
      <c r="N694" s="1468"/>
      <c r="O694" s="1468"/>
      <c r="P694" s="1468"/>
      <c r="Q694" s="1468"/>
      <c r="R694" s="1468"/>
      <c r="U694" t="s">
        <v>17</v>
      </c>
      <c r="Z694" s="1485"/>
      <c r="AA694" s="1485"/>
      <c r="AB694" s="1485"/>
      <c r="AC694" s="1485"/>
      <c r="AD694" s="1485"/>
      <c r="AE694" s="1485"/>
      <c r="AF694" s="1485"/>
      <c r="AG694" s="1485"/>
      <c r="AH694" s="1485"/>
      <c r="AI694" s="1485"/>
      <c r="AJ694" s="1485"/>
      <c r="AK694" s="1485"/>
      <c r="AZ694" s="3"/>
    </row>
    <row r="695" spans="1:52" ht="12.9" customHeight="1">
      <c r="B695" t="s">
        <v>316</v>
      </c>
      <c r="G695" s="1498"/>
      <c r="H695" s="1498"/>
      <c r="I695" s="1498"/>
      <c r="J695" s="1498"/>
      <c r="K695" s="1498"/>
      <c r="L695" s="1498"/>
      <c r="O695" s="33" t="s">
        <v>206</v>
      </c>
      <c r="P695" s="1473"/>
      <c r="Q695" s="1473"/>
      <c r="R695" s="1473"/>
      <c r="U695" t="s">
        <v>316</v>
      </c>
      <c r="Z695" s="1498"/>
      <c r="AA695" s="1498"/>
      <c r="AB695" s="1498"/>
      <c r="AC695" s="1498"/>
      <c r="AD695" s="1498"/>
      <c r="AE695" s="1498"/>
      <c r="AH695" s="33" t="s">
        <v>206</v>
      </c>
      <c r="AI695" s="1473"/>
      <c r="AJ695" s="1473"/>
      <c r="AK695" s="1473"/>
      <c r="AZ695" s="3"/>
    </row>
    <row r="696" spans="1:52" ht="12.9" customHeight="1">
      <c r="B696" t="s">
        <v>18</v>
      </c>
      <c r="H696" s="1468"/>
      <c r="I696" s="1468"/>
      <c r="J696" s="1468"/>
      <c r="K696" s="1468"/>
      <c r="L696" s="1468"/>
      <c r="M696" s="1468"/>
      <c r="N696" s="1468"/>
      <c r="O696" s="1468"/>
      <c r="P696" s="1468"/>
      <c r="Q696" s="1468"/>
      <c r="R696" s="1468"/>
      <c r="U696" t="s">
        <v>18</v>
      </c>
      <c r="AA696" s="1468"/>
      <c r="AB696" s="1468"/>
      <c r="AC696" s="1468"/>
      <c r="AD696" s="1468"/>
      <c r="AE696" s="1468"/>
      <c r="AF696" s="1468"/>
      <c r="AG696" s="1468"/>
      <c r="AH696" s="1468"/>
      <c r="AI696" s="1468"/>
      <c r="AJ696" s="1468"/>
      <c r="AK696" s="1468"/>
      <c r="AZ696" s="3"/>
    </row>
    <row r="697" spans="1:52" ht="12.9" customHeight="1">
      <c r="B697" t="s">
        <v>20</v>
      </c>
      <c r="N697" s="1344" t="s">
        <v>669</v>
      </c>
      <c r="O697" s="1344"/>
      <c r="U697" t="s">
        <v>20</v>
      </c>
      <c r="AG697" s="1344" t="s">
        <v>669</v>
      </c>
      <c r="AH697" s="1344"/>
      <c r="AZ697" s="3"/>
    </row>
    <row r="698" spans="1:52" ht="12.9" customHeight="1">
      <c r="AZ698" s="3"/>
    </row>
    <row r="699" spans="1:52" ht="12.9" customHeight="1">
      <c r="A699" s="2" t="s">
        <v>576</v>
      </c>
      <c r="C699" s="2" t="s">
        <v>327</v>
      </c>
      <c r="E699" s="130"/>
      <c r="F699" s="130"/>
      <c r="G699" s="130"/>
      <c r="H699" s="130"/>
      <c r="AZ699" s="3"/>
    </row>
    <row r="700" spans="1:52" ht="12.9" customHeight="1">
      <c r="B700" s="135"/>
      <c r="C700" s="135"/>
      <c r="D700" s="1030" t="s">
        <v>2605</v>
      </c>
      <c r="E700" s="135"/>
      <c r="F700" s="135"/>
      <c r="G700" s="135"/>
      <c r="H700" s="135"/>
      <c r="AZ700" s="3"/>
    </row>
    <row r="701" spans="1:52" ht="12.9" customHeight="1">
      <c r="B701" s="135"/>
      <c r="C701" s="135"/>
      <c r="E701" s="136" t="s">
        <v>434</v>
      </c>
      <c r="F701" s="135"/>
      <c r="G701" s="135"/>
      <c r="H701" s="135"/>
      <c r="AE701" s="1344" t="s">
        <v>545</v>
      </c>
      <c r="AF701" s="1344"/>
      <c r="AZ701" s="3"/>
    </row>
    <row r="702" spans="1:52" ht="12.9" customHeight="1">
      <c r="B702" s="135"/>
      <c r="C702" s="135"/>
      <c r="D702" s="136" t="s">
        <v>437</v>
      </c>
      <c r="E702" s="135"/>
      <c r="F702" s="135"/>
      <c r="G702" s="135"/>
      <c r="H702" s="135"/>
      <c r="AE702" s="1548" t="s">
        <v>545</v>
      </c>
      <c r="AF702" s="1344"/>
      <c r="AZ702" s="3"/>
    </row>
    <row r="703" spans="1:52" ht="12.9" customHeight="1">
      <c r="B703" s="135"/>
      <c r="C703" s="135"/>
      <c r="D703" s="136" t="s">
        <v>920</v>
      </c>
      <c r="E703" s="135"/>
      <c r="F703" s="135"/>
      <c r="G703" s="135"/>
      <c r="H703" s="135"/>
      <c r="AE703" s="1705">
        <v>46161</v>
      </c>
      <c r="AF703" s="1706"/>
      <c r="AG703" s="1706"/>
      <c r="AH703" s="1706"/>
      <c r="AI703" s="1706"/>
    </row>
    <row r="704" spans="1:52" ht="12.9" customHeight="1">
      <c r="B704" s="135"/>
      <c r="C704" s="135"/>
      <c r="D704" s="317" t="s">
        <v>982</v>
      </c>
      <c r="E704" s="135"/>
      <c r="F704" s="135"/>
      <c r="G704" s="135"/>
      <c r="H704" s="135"/>
      <c r="AE704" s="1731">
        <v>46252</v>
      </c>
      <c r="AF704" s="1731"/>
      <c r="AG704" s="1731"/>
      <c r="AH704" s="1731"/>
      <c r="AI704" s="1731"/>
    </row>
    <row r="705" spans="1:110" ht="12.9" customHeight="1">
      <c r="B705" s="135"/>
      <c r="C705" s="135"/>
    </row>
    <row r="706" spans="1:110" ht="12.9" customHeight="1">
      <c r="B706" s="135"/>
      <c r="C706" s="135"/>
      <c r="D706" s="136" t="s">
        <v>816</v>
      </c>
      <c r="E706" s="135"/>
      <c r="F706" s="135"/>
      <c r="G706" s="135"/>
      <c r="H706" s="135"/>
      <c r="AE706" s="1706">
        <v>46419</v>
      </c>
      <c r="AF706" s="1706"/>
      <c r="AG706" s="1706"/>
      <c r="AH706" s="1706"/>
      <c r="AI706" s="1706"/>
    </row>
    <row r="707" spans="1:110" ht="12.9" customHeight="1">
      <c r="B707" s="135"/>
      <c r="C707" s="135"/>
      <c r="D707" s="136" t="s">
        <v>435</v>
      </c>
      <c r="E707" s="135"/>
      <c r="F707" s="135"/>
      <c r="G707" s="135"/>
      <c r="H707" s="135"/>
      <c r="AE707" s="1701">
        <v>0.27500000000000002</v>
      </c>
      <c r="AF707" s="1701"/>
      <c r="AG707" s="1701"/>
      <c r="AH707" s="1701"/>
      <c r="AI707" s="1701"/>
    </row>
    <row r="708" spans="1:110" ht="12.9" customHeight="1">
      <c r="B708" s="135"/>
      <c r="C708" s="135"/>
      <c r="D708" s="136" t="s">
        <v>436</v>
      </c>
      <c r="E708" s="135"/>
      <c r="F708" s="135"/>
      <c r="G708" s="135"/>
      <c r="H708" s="135"/>
      <c r="W708" s="1474" t="str">
        <f>H344</f>
        <v>Los Angeles County Development Authority</v>
      </c>
      <c r="X708" s="1474"/>
      <c r="Y708" s="1474"/>
      <c r="Z708" s="1474"/>
      <c r="AA708" s="1474"/>
      <c r="AB708" s="1474"/>
      <c r="AC708" s="1474"/>
      <c r="AD708" s="1474"/>
      <c r="AE708" s="1474"/>
      <c r="AF708" s="1474"/>
      <c r="AG708" s="1474"/>
      <c r="AH708" s="1474"/>
      <c r="AI708" s="1474"/>
      <c r="AJ708" s="1474"/>
      <c r="AK708" s="1474"/>
    </row>
    <row r="709" spans="1:110" ht="12.9" customHeight="1">
      <c r="B709" s="135"/>
      <c r="C709" s="135"/>
      <c r="D709" s="136"/>
      <c r="E709" s="135"/>
      <c r="F709" s="135"/>
      <c r="G709" s="135"/>
      <c r="H709" s="135"/>
    </row>
    <row r="710" spans="1:110" ht="12.9" customHeight="1">
      <c r="B710" s="135"/>
      <c r="C710" s="135"/>
      <c r="D710" s="136" t="s">
        <v>438</v>
      </c>
      <c r="E710" s="135"/>
      <c r="F710" s="135"/>
      <c r="G710" s="135"/>
      <c r="H710" s="135"/>
      <c r="AE710" s="1344" t="s">
        <v>669</v>
      </c>
      <c r="AF710" s="1344"/>
    </row>
    <row r="711" spans="1:110" ht="12.9" customHeight="1">
      <c r="B711" s="135"/>
      <c r="C711" s="135"/>
      <c r="D711" s="136" t="s">
        <v>442</v>
      </c>
      <c r="E711" s="135"/>
      <c r="F711" s="135"/>
      <c r="G711" s="135"/>
      <c r="H711" s="135"/>
      <c r="W711" s="1468" t="s">
        <v>591</v>
      </c>
      <c r="X711" s="1468"/>
      <c r="Y711" s="1468"/>
      <c r="Z711" s="1468"/>
      <c r="AA711" s="1468"/>
      <c r="AB711" s="1468"/>
      <c r="AC711" s="1468"/>
      <c r="AD711" s="1468"/>
      <c r="AE711" s="1468"/>
      <c r="AF711" s="1468"/>
      <c r="AG711" s="1468"/>
      <c r="AH711" s="1468"/>
      <c r="AI711" s="1468"/>
      <c r="AJ711" s="1468"/>
      <c r="AK711" s="1468"/>
    </row>
    <row r="712" spans="1:110" ht="12.9" customHeight="1">
      <c r="B712" s="135"/>
      <c r="C712" s="135"/>
      <c r="D712" s="136" t="s">
        <v>87</v>
      </c>
      <c r="E712" s="135"/>
      <c r="F712" s="135"/>
      <c r="G712" s="135"/>
      <c r="H712" s="135"/>
      <c r="J712" s="1468" t="s">
        <v>591</v>
      </c>
      <c r="K712" s="1468"/>
      <c r="L712" s="1468"/>
      <c r="M712" s="1468"/>
      <c r="N712" s="1468"/>
      <c r="O712" s="1468"/>
      <c r="P712" s="1468"/>
      <c r="Q712" s="1468"/>
      <c r="R712" s="1468"/>
      <c r="S712" s="1468"/>
      <c r="T712" s="1468"/>
      <c r="U712" s="1468"/>
      <c r="V712" s="1468"/>
      <c r="W712" s="1468"/>
      <c r="X712" s="1468"/>
      <c r="BB712" s="34"/>
      <c r="BC712" s="34"/>
      <c r="BD712" s="34"/>
      <c r="BE712" s="3"/>
      <c r="BF712" s="3"/>
      <c r="BJ712" s="3"/>
      <c r="BK712" s="3"/>
      <c r="BL712" s="3"/>
      <c r="BM712" s="3"/>
      <c r="BN712" s="34"/>
      <c r="BO712" s="34"/>
    </row>
    <row r="713" spans="1:110" ht="12.9" customHeight="1">
      <c r="B713" s="135"/>
      <c r="C713" s="135"/>
      <c r="D713" s="136" t="s">
        <v>88</v>
      </c>
      <c r="J713" s="1498" t="s">
        <v>591</v>
      </c>
      <c r="K713" s="1498"/>
      <c r="L713" s="1498"/>
      <c r="M713" s="1498"/>
      <c r="N713" s="1498"/>
      <c r="O713" s="1498"/>
      <c r="P713" s="4" t="s">
        <v>206</v>
      </c>
      <c r="Q713" s="4"/>
      <c r="R713" s="1473" t="s">
        <v>591</v>
      </c>
      <c r="S713" s="1473"/>
      <c r="T713" s="147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443</v>
      </c>
      <c r="W714" s="1468" t="s">
        <v>307</v>
      </c>
      <c r="X714" s="1468"/>
      <c r="Y714" s="1468"/>
      <c r="Z714" s="1468"/>
      <c r="AA714" s="1468"/>
      <c r="AB714" s="1468"/>
      <c r="AC714" s="1468"/>
      <c r="AD714" s="1468"/>
      <c r="AE714" s="1468"/>
      <c r="AF714" s="1468"/>
      <c r="AG714" s="1468"/>
      <c r="AH714" s="1468"/>
      <c r="AI714" s="1468"/>
      <c r="AJ714" s="1468"/>
      <c r="AK714" s="146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68" t="s">
        <v>334</v>
      </c>
      <c r="F715" s="1468"/>
      <c r="G715" s="1468"/>
      <c r="H715" s="1468"/>
      <c r="I715" s="1468"/>
      <c r="J715" s="1468"/>
      <c r="K715" s="1468"/>
      <c r="L715" s="1468"/>
      <c r="M715" s="1468"/>
      <c r="N715" s="1468"/>
      <c r="O715" s="1468"/>
      <c r="P715" s="1468"/>
      <c r="Q715" s="1468"/>
      <c r="R715" s="1468"/>
      <c r="S715" s="1468"/>
      <c r="T715" s="1468"/>
      <c r="U715" s="1468"/>
      <c r="V715" s="1468"/>
      <c r="W715" s="1468"/>
      <c r="X715" s="1468"/>
      <c r="Y715" s="1468"/>
      <c r="Z715" s="1468"/>
      <c r="AA715" s="1468"/>
      <c r="AB715" s="1468"/>
      <c r="AC715" s="1468"/>
      <c r="AD715" s="1468"/>
      <c r="AE715" s="1468"/>
      <c r="AF715" s="1468"/>
      <c r="AG715" s="1468"/>
      <c r="AH715" s="1468"/>
      <c r="AI715" s="1468"/>
      <c r="AJ715" s="1468"/>
      <c r="AK715" s="146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418" t="s">
        <v>389</v>
      </c>
      <c r="C722" s="1419"/>
      <c r="D722" s="1419"/>
      <c r="E722" s="1419"/>
      <c r="F722" s="1420"/>
      <c r="G722" s="1418" t="s">
        <v>285</v>
      </c>
      <c r="H722" s="1419"/>
      <c r="I722" s="1419"/>
      <c r="J722" s="1420"/>
      <c r="K722" s="1732" t="s">
        <v>1667</v>
      </c>
      <c r="L722" s="1733"/>
      <c r="M722" s="1733"/>
      <c r="N722" s="1734"/>
      <c r="O722" s="1418" t="s">
        <v>447</v>
      </c>
      <c r="P722" s="1419"/>
      <c r="Q722" s="1419"/>
      <c r="R722" s="1419"/>
      <c r="S722" s="1420"/>
      <c r="T722" s="1700" t="s">
        <v>1921</v>
      </c>
      <c r="U722" s="1419"/>
      <c r="V722" s="1419"/>
      <c r="W722" s="1420"/>
      <c r="X722" s="1700" t="s">
        <v>1923</v>
      </c>
      <c r="Y722" s="1419"/>
      <c r="Z722" s="1419"/>
      <c r="AA722" s="1419"/>
      <c r="AB722" s="1420"/>
      <c r="AC722" s="1700" t="s">
        <v>1922</v>
      </c>
      <c r="AD722" s="1419"/>
      <c r="AE722" s="1419"/>
      <c r="AF722" s="1419"/>
      <c r="AG722" s="1420"/>
      <c r="AH722" s="1700" t="s">
        <v>1924</v>
      </c>
      <c r="AI722" s="1419"/>
      <c r="AJ722" s="1420"/>
      <c r="AK722" s="1700" t="s">
        <v>1951</v>
      </c>
      <c r="AL722" s="1419"/>
      <c r="AM722" s="1419"/>
      <c r="AN722" s="1419"/>
      <c r="AO722" s="142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21"/>
      <c r="C723" s="1422"/>
      <c r="D723" s="1422"/>
      <c r="E723" s="1422"/>
      <c r="F723" s="1423"/>
      <c r="G723" s="1421"/>
      <c r="H723" s="1422"/>
      <c r="I723" s="1422"/>
      <c r="J723" s="1423"/>
      <c r="K723" s="1735"/>
      <c r="L723" s="1736"/>
      <c r="M723" s="1736"/>
      <c r="N723" s="1737"/>
      <c r="O723" s="1421"/>
      <c r="P723" s="1422"/>
      <c r="Q723" s="1422"/>
      <c r="R723" s="1422"/>
      <c r="S723" s="1423"/>
      <c r="T723" s="1421"/>
      <c r="U723" s="1422"/>
      <c r="V723" s="1422"/>
      <c r="W723" s="1423"/>
      <c r="X723" s="1421"/>
      <c r="Y723" s="1422"/>
      <c r="Z723" s="1422"/>
      <c r="AA723" s="1422"/>
      <c r="AB723" s="1423"/>
      <c r="AC723" s="1421"/>
      <c r="AD723" s="1422"/>
      <c r="AE723" s="1422"/>
      <c r="AF723" s="1422"/>
      <c r="AG723" s="1423"/>
      <c r="AH723" s="1421"/>
      <c r="AI723" s="1422"/>
      <c r="AJ723" s="1423"/>
      <c r="AK723" s="1421"/>
      <c r="AL723" s="1422"/>
      <c r="AM723" s="1422"/>
      <c r="AN723" s="1422"/>
      <c r="AO723" s="142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421"/>
      <c r="C724" s="1422"/>
      <c r="D724" s="1422"/>
      <c r="E724" s="1422"/>
      <c r="F724" s="1423"/>
      <c r="G724" s="1421"/>
      <c r="H724" s="1422"/>
      <c r="I724" s="1422"/>
      <c r="J724" s="1423"/>
      <c r="K724" s="1735"/>
      <c r="L724" s="1736"/>
      <c r="M724" s="1736"/>
      <c r="N724" s="1737"/>
      <c r="O724" s="1421"/>
      <c r="P724" s="1422"/>
      <c r="Q724" s="1422"/>
      <c r="R724" s="1422"/>
      <c r="S724" s="1423"/>
      <c r="T724" s="1421"/>
      <c r="U724" s="1422"/>
      <c r="V724" s="1422"/>
      <c r="W724" s="1423"/>
      <c r="X724" s="1421"/>
      <c r="Y724" s="1422"/>
      <c r="Z724" s="1422"/>
      <c r="AA724" s="1422"/>
      <c r="AB724" s="1423"/>
      <c r="AC724" s="1421"/>
      <c r="AD724" s="1422"/>
      <c r="AE724" s="1422"/>
      <c r="AF724" s="1422"/>
      <c r="AG724" s="1423"/>
      <c r="AH724" s="1421"/>
      <c r="AI724" s="1422"/>
      <c r="AJ724" s="1423"/>
      <c r="AK724" s="1421"/>
      <c r="AL724" s="1422"/>
      <c r="AM724" s="1422"/>
      <c r="AN724" s="1422"/>
      <c r="AO724" s="1423"/>
      <c r="AP724" s="3"/>
      <c r="AQ724" s="3"/>
      <c r="AR724" s="3"/>
      <c r="AS724" s="3"/>
      <c r="BA724" s="3"/>
      <c r="BB724" s="3"/>
      <c r="BC724" s="3"/>
      <c r="BD724" s="3"/>
      <c r="BE724" s="204"/>
      <c r="BF724" s="205" t="s">
        <v>895</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424"/>
      <c r="C725" s="1425"/>
      <c r="D725" s="1425"/>
      <c r="E725" s="1425"/>
      <c r="F725" s="1426"/>
      <c r="G725" s="1424"/>
      <c r="H725" s="1425"/>
      <c r="I725" s="1425"/>
      <c r="J725" s="1426"/>
      <c r="K725" s="1735"/>
      <c r="L725" s="1736"/>
      <c r="M725" s="1736"/>
      <c r="N725" s="1737"/>
      <c r="O725" s="1424"/>
      <c r="P725" s="1425"/>
      <c r="Q725" s="1425"/>
      <c r="R725" s="1425"/>
      <c r="S725" s="1426"/>
      <c r="T725" s="1424"/>
      <c r="U725" s="1425"/>
      <c r="V725" s="1425"/>
      <c r="W725" s="1426"/>
      <c r="X725" s="1424"/>
      <c r="Y725" s="1425"/>
      <c r="Z725" s="1425"/>
      <c r="AA725" s="1425"/>
      <c r="AB725" s="1426"/>
      <c r="AC725" s="1424"/>
      <c r="AD725" s="1425"/>
      <c r="AE725" s="1425"/>
      <c r="AF725" s="1425"/>
      <c r="AG725" s="1426"/>
      <c r="AH725" s="1424"/>
      <c r="AI725" s="1425"/>
      <c r="AJ725" s="1426"/>
      <c r="AK725" s="1424"/>
      <c r="AL725" s="1425"/>
      <c r="AM725" s="1425"/>
      <c r="AN725" s="1425"/>
      <c r="AO725" s="142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693"/>
      <c r="CJ725" s="1694"/>
      <c r="CK725" s="121" t="s">
        <v>475</v>
      </c>
      <c r="CL725" s="122"/>
      <c r="CM725" s="1693"/>
      <c r="CN725" s="1694"/>
      <c r="CO725" s="3"/>
      <c r="CP725" s="1430" t="s">
        <v>633</v>
      </c>
      <c r="CQ725" s="1431"/>
      <c r="CR725" s="1431"/>
      <c r="CS725" s="1431"/>
      <c r="CT725" s="1432"/>
      <c r="CU725" s="1554" t="s">
        <v>325</v>
      </c>
      <c r="CV725" s="1554"/>
      <c r="CW725" s="1554"/>
      <c r="CX725" s="1554"/>
      <c r="CY725" s="1554"/>
      <c r="CZ725" s="1554" t="s">
        <v>163</v>
      </c>
      <c r="DA725" s="1554"/>
      <c r="DB725" s="1554"/>
      <c r="DC725" s="1554"/>
      <c r="DD725" s="1554"/>
      <c r="DE725" s="1554" t="s">
        <v>164</v>
      </c>
      <c r="DF725" s="1554"/>
      <c r="DG725" s="1554"/>
      <c r="DH725" s="1554"/>
      <c r="DI725" s="1554"/>
      <c r="DJ725" s="1554" t="s">
        <v>460</v>
      </c>
      <c r="DK725" s="1554"/>
      <c r="DL725" s="1554"/>
      <c r="DM725" s="1554"/>
      <c r="DN725" s="1554"/>
      <c r="DO725" s="1554" t="s">
        <v>30</v>
      </c>
      <c r="DP725" s="1554"/>
      <c r="DQ725" s="1554"/>
      <c r="DR725" s="1554"/>
      <c r="DS725" s="1554"/>
      <c r="DT725" s="89"/>
      <c r="DU725" s="1554" t="s">
        <v>633</v>
      </c>
      <c r="DV725" s="1554"/>
      <c r="DW725" s="1554"/>
      <c r="DX725" s="1554"/>
      <c r="DY725" s="1554"/>
      <c r="DZ725" s="1554" t="s">
        <v>325</v>
      </c>
      <c r="EA725" s="1554"/>
      <c r="EB725" s="1554"/>
      <c r="EC725" s="1554"/>
      <c r="ED725" s="1554"/>
      <c r="EE725" s="1554" t="s">
        <v>163</v>
      </c>
      <c r="EF725" s="1554"/>
      <c r="EG725" s="1554"/>
      <c r="EH725" s="1554"/>
      <c r="EI725" s="1554"/>
      <c r="EJ725" s="1554" t="s">
        <v>164</v>
      </c>
      <c r="EK725" s="1554"/>
      <c r="EL725" s="1554"/>
      <c r="EM725" s="1554"/>
      <c r="EN725" s="1554"/>
      <c r="EO725" s="1554" t="s">
        <v>460</v>
      </c>
      <c r="EP725" s="1554"/>
      <c r="EQ725" s="1554"/>
      <c r="ER725" s="1554"/>
      <c r="ES725" s="1554"/>
      <c r="ET725" s="1554" t="s">
        <v>30</v>
      </c>
      <c r="EU725" s="1554"/>
      <c r="EV725" s="1554"/>
      <c r="EW725" s="1554"/>
      <c r="EX725" s="1554"/>
      <c r="EY725" s="4"/>
      <c r="EZ725" s="1554" t="s">
        <v>633</v>
      </c>
      <c r="FA725" s="1554"/>
      <c r="FB725" s="1554"/>
      <c r="FC725" s="1554"/>
      <c r="FD725" s="1554"/>
      <c r="FE725" s="1554" t="s">
        <v>325</v>
      </c>
      <c r="FF725" s="1554"/>
      <c r="FG725" s="1554"/>
      <c r="FH725" s="1554"/>
      <c r="FI725" s="1554"/>
      <c r="FJ725" s="1554" t="s">
        <v>163</v>
      </c>
      <c r="FK725" s="1554"/>
      <c r="FL725" s="1554"/>
      <c r="FM725" s="1554"/>
      <c r="FN725" s="1554"/>
      <c r="FO725" s="1554" t="s">
        <v>164</v>
      </c>
      <c r="FP725" s="1554"/>
      <c r="FQ725" s="1554"/>
      <c r="FR725" s="1554"/>
      <c r="FS725" s="1554"/>
      <c r="FT725" s="1554" t="s">
        <v>460</v>
      </c>
      <c r="FU725" s="1554"/>
      <c r="FV725" s="1554"/>
      <c r="FW725" s="1554"/>
      <c r="FX725" s="1554"/>
      <c r="FY725" s="1554" t="s">
        <v>30</v>
      </c>
      <c r="FZ725" s="1554"/>
      <c r="GA725" s="1554"/>
      <c r="GB725" s="1554"/>
      <c r="GC725" s="1554"/>
    </row>
    <row r="726" spans="1:185" ht="12.9" customHeight="1">
      <c r="A726" s="4"/>
      <c r="B726" s="1368" t="s">
        <v>324</v>
      </c>
      <c r="C726" s="1369"/>
      <c r="D726" s="1369"/>
      <c r="E726" s="1369"/>
      <c r="F726" s="1370"/>
      <c r="G726" s="1362">
        <f>21+20</f>
        <v>41</v>
      </c>
      <c r="H726" s="1363"/>
      <c r="I726" s="1363"/>
      <c r="J726" s="1364"/>
      <c r="K726" s="1466">
        <v>452</v>
      </c>
      <c r="L726" s="1366"/>
      <c r="M726" s="1366"/>
      <c r="N726" s="1367"/>
      <c r="O726" s="1404">
        <v>795</v>
      </c>
      <c r="P726" s="1405"/>
      <c r="Q726" s="1405"/>
      <c r="R726" s="1405"/>
      <c r="S726" s="1406"/>
      <c r="T726" s="1404">
        <v>0</v>
      </c>
      <c r="U726" s="1405"/>
      <c r="V726" s="1405"/>
      <c r="W726" s="1406"/>
      <c r="X726" s="1407">
        <f t="shared" ref="X726:X749" si="11">O726+T726</f>
        <v>795</v>
      </c>
      <c r="Y726" s="1403"/>
      <c r="Z726" s="1403"/>
      <c r="AA726" s="1403"/>
      <c r="AB726" s="1408"/>
      <c r="AC726" s="1409">
        <v>0.3</v>
      </c>
      <c r="AD726" s="1410"/>
      <c r="AE726" s="1410"/>
      <c r="AF726" s="1410"/>
      <c r="AG726" s="1411"/>
      <c r="AH726" s="1463">
        <f>IF($AC726&gt;0,($X726/$AZ726), "")</f>
        <v>0.3</v>
      </c>
      <c r="AI726" s="1464"/>
      <c r="AJ726" s="1465"/>
      <c r="AK726" s="1368" t="s">
        <v>2053</v>
      </c>
      <c r="AL726" s="1369"/>
      <c r="AM726" s="1369"/>
      <c r="AN726" s="1369"/>
      <c r="AO726" s="1370"/>
      <c r="AP726" s="3"/>
      <c r="AQ726" s="3"/>
      <c r="AR726" s="3"/>
      <c r="AS726" s="3"/>
      <c r="AZ726" s="118">
        <f t="shared" ref="AZ726:AZ760" si="12">IF($G726=0,"N/A",VLOOKUP($T$189,TC_Rent,(MATCH($B726,bedrooms,FALSE)),FALSE))</f>
        <v>2650</v>
      </c>
      <c r="BA726" s="3"/>
      <c r="BB726" s="3"/>
      <c r="BC726" s="3"/>
      <c r="BD726" s="3"/>
      <c r="BE726" s="204"/>
      <c r="BF726" s="293">
        <f t="shared" ref="BF726:BF760" si="13">G726</f>
        <v>41</v>
      </c>
      <c r="BG726" s="297">
        <f t="shared" ref="BG726:BG760" si="14">IF($BF$761=0,0,BF726/$BF$761)</f>
        <v>0.44086021505376344</v>
      </c>
      <c r="BH726" s="298">
        <f t="shared" ref="BH726:BH760" si="15">IF(BG726=0,"",BG726*AC726)</f>
        <v>0.13225806451612904</v>
      </c>
      <c r="BI726" s="3"/>
      <c r="BJ726" s="3"/>
      <c r="BK726" s="3"/>
      <c r="BL726" s="3"/>
      <c r="BM726" s="3"/>
      <c r="BN726" s="3"/>
      <c r="BS726" s="293">
        <f t="shared" ref="BS726:BS760" si="16">G726</f>
        <v>41</v>
      </c>
      <c r="BT726" s="297">
        <f t="shared" ref="BT726:BT760" si="17">IF($BS$761=0,0,BS726/$BS$761)</f>
        <v>0.44086021505376344</v>
      </c>
      <c r="BU726" s="298">
        <f t="shared" ref="BU726:BU760" si="18">IF(BT726=0,"",BT726*AH726)</f>
        <v>0.13225806451612904</v>
      </c>
      <c r="CC726" s="3"/>
      <c r="CD726" s="3"/>
      <c r="CE726" s="3"/>
      <c r="CF726" s="3"/>
      <c r="CG726" s="1559">
        <f>IF(AND(AC726&lt;=0.5,AC726&gt;=0.36),1,0)</f>
        <v>0</v>
      </c>
      <c r="CH726" s="1561"/>
      <c r="CI726" s="1693">
        <f>IF(CG726=1,G726,0)</f>
        <v>0</v>
      </c>
      <c r="CJ726" s="1694"/>
      <c r="CK726" s="1559">
        <f t="shared" ref="CK726:CK760" si="19">IF(AND(AC726&lt;=0.35,AC726&gt;0),1,0)</f>
        <v>1</v>
      </c>
      <c r="CL726" s="1561"/>
      <c r="CM726" s="1693">
        <f t="shared" ref="CM726:CM760" si="20">IF(CK726=1,G726,0)</f>
        <v>41</v>
      </c>
      <c r="CN726" s="1694"/>
      <c r="CO726" s="3"/>
      <c r="CP726" s="1555">
        <f t="shared" ref="CP726:CP760" si="21">IF(B726="SRO/Studio",G726,0)</f>
        <v>41</v>
      </c>
      <c r="CQ726" s="1556"/>
      <c r="CR726" s="1556"/>
      <c r="CS726" s="1556"/>
      <c r="CT726" s="1557"/>
      <c r="CU726" s="1552">
        <f t="shared" ref="CU726:CU760" si="22">IF(B726="1 Bedroom",G726,0)</f>
        <v>0</v>
      </c>
      <c r="CV726" s="1552"/>
      <c r="CW726" s="1552"/>
      <c r="CX726" s="1552"/>
      <c r="CY726" s="1552"/>
      <c r="CZ726" s="1552">
        <f t="shared" ref="CZ726:CZ760" si="23">IF(B726="2 Bedrooms",G726,0)</f>
        <v>0</v>
      </c>
      <c r="DA726" s="1552"/>
      <c r="DB726" s="1552"/>
      <c r="DC726" s="1552"/>
      <c r="DD726" s="1552"/>
      <c r="DE726" s="1552">
        <f t="shared" ref="DE726:DE760" si="24">IF(B726="3 Bedrooms",G726,0)</f>
        <v>0</v>
      </c>
      <c r="DF726" s="1552"/>
      <c r="DG726" s="1552"/>
      <c r="DH726" s="1552"/>
      <c r="DI726" s="1552"/>
      <c r="DJ726" s="1552">
        <f t="shared" ref="DJ726:DJ760" si="25">IF(B726="4 Bedrooms",G726,0)</f>
        <v>0</v>
      </c>
      <c r="DK726" s="1552"/>
      <c r="DL726" s="1552"/>
      <c r="DM726" s="1552"/>
      <c r="DN726" s="1552"/>
      <c r="DO726" s="1552">
        <f t="shared" ref="DO726:DO760" si="26">IF(B726="5 Bedrooms",G726,0)</f>
        <v>0</v>
      </c>
      <c r="DP726" s="1552"/>
      <c r="DQ726" s="1552"/>
      <c r="DR726" s="1552"/>
      <c r="DS726" s="1552"/>
      <c r="DT726" s="6"/>
      <c r="DU726" s="1553">
        <f t="shared" ref="DU726:DU760" si="27">IF(AND(B726="SRO/Studio",AC726&lt;=0.3),G726,0)</f>
        <v>41</v>
      </c>
      <c r="DV726" s="1553"/>
      <c r="DW726" s="1553"/>
      <c r="DX726" s="1553"/>
      <c r="DY726" s="1553"/>
      <c r="DZ726" s="1553">
        <f t="shared" ref="DZ726:DZ760" si="28">IF(AND(B726="1 Bedroom",AC726&lt;=0.3),G726,0)</f>
        <v>0</v>
      </c>
      <c r="EA726" s="1553"/>
      <c r="EB726" s="1553"/>
      <c r="EC726" s="1553"/>
      <c r="ED726" s="1553"/>
      <c r="EE726" s="1553">
        <f t="shared" ref="EE726:EE760" si="29">IF(AND(B726="2 Bedrooms",AC726&lt;=0.3),G726,0)</f>
        <v>0</v>
      </c>
      <c r="EF726" s="1553"/>
      <c r="EG726" s="1553"/>
      <c r="EH726" s="1553"/>
      <c r="EI726" s="1553"/>
      <c r="EJ726" s="1553">
        <f t="shared" ref="EJ726:EJ760" si="30">IF(AND(B726="3 Bedrooms",AC726&lt;=0.3),G726,0)</f>
        <v>0</v>
      </c>
      <c r="EK726" s="1553"/>
      <c r="EL726" s="1553"/>
      <c r="EM726" s="1553"/>
      <c r="EN726" s="1553"/>
      <c r="EO726" s="1553">
        <f t="shared" ref="EO726:EO760" si="31">IF(AND(B726="4 Bedrooms",AC726&lt;=0.3),G726,0)</f>
        <v>0</v>
      </c>
      <c r="EP726" s="1553"/>
      <c r="EQ726" s="1553"/>
      <c r="ER726" s="1553"/>
      <c r="ES726" s="1553"/>
      <c r="ET726" s="1553">
        <f t="shared" ref="ET726:ET760" si="32">IF(AND(B726="5 Bedrooms",AC726&lt;=0.3),G726,0)</f>
        <v>0</v>
      </c>
      <c r="EU726" s="1553"/>
      <c r="EV726" s="1553"/>
      <c r="EW726" s="1553"/>
      <c r="EX726" s="1553"/>
      <c r="EY726" s="4"/>
      <c r="EZ726" s="1559">
        <f t="shared" ref="EZ726:EZ760" si="33">IF(CP726&gt;0,O726,"")</f>
        <v>795</v>
      </c>
      <c r="FA726" s="1560"/>
      <c r="FB726" s="1560"/>
      <c r="FC726" s="1560"/>
      <c r="FD726" s="1561"/>
      <c r="FE726" s="1559" t="str">
        <f t="shared" ref="FE726:FE760" si="34">IF(CU726&gt;0,O726,"")</f>
        <v/>
      </c>
      <c r="FF726" s="1560"/>
      <c r="FG726" s="1560"/>
      <c r="FH726" s="1560"/>
      <c r="FI726" s="1561"/>
      <c r="FJ726" s="1559" t="str">
        <f t="shared" ref="FJ726:FJ760" si="35">IF(CZ726&gt;0,O726,"")</f>
        <v/>
      </c>
      <c r="FK726" s="1560"/>
      <c r="FL726" s="1560"/>
      <c r="FM726" s="1560"/>
      <c r="FN726" s="1561"/>
      <c r="FO726" s="1559" t="str">
        <f t="shared" ref="FO726:FO760" si="36">IF(DE726&gt;0,O726,"")</f>
        <v/>
      </c>
      <c r="FP726" s="1560"/>
      <c r="FQ726" s="1560"/>
      <c r="FR726" s="1560"/>
      <c r="FS726" s="1561"/>
      <c r="FT726" s="1559" t="str">
        <f t="shared" ref="FT726:FT760" si="37">IF(DJ726&gt;0,O726,"")</f>
        <v/>
      </c>
      <c r="FU726" s="1560"/>
      <c r="FV726" s="1560"/>
      <c r="FW726" s="1560"/>
      <c r="FX726" s="1561"/>
      <c r="FY726" s="1559" t="str">
        <f t="shared" ref="FY726:FY760" si="38">IF(DO726&gt;0,O726,"")</f>
        <v/>
      </c>
      <c r="FZ726" s="1560"/>
      <c r="GA726" s="1560"/>
      <c r="GB726" s="1560"/>
      <c r="GC726" s="1561"/>
    </row>
    <row r="727" spans="1:185" ht="12.9" customHeight="1">
      <c r="A727" s="4"/>
      <c r="B727" s="1368" t="s">
        <v>325</v>
      </c>
      <c r="C727" s="1369"/>
      <c r="D727" s="1369"/>
      <c r="E727" s="1369"/>
      <c r="F727" s="1370"/>
      <c r="G727" s="1362">
        <v>5</v>
      </c>
      <c r="H727" s="1363"/>
      <c r="I727" s="1363"/>
      <c r="J727" s="1364"/>
      <c r="K727" s="1466">
        <v>654</v>
      </c>
      <c r="L727" s="1366"/>
      <c r="M727" s="1366"/>
      <c r="N727" s="1367"/>
      <c r="O727" s="1404">
        <v>852</v>
      </c>
      <c r="P727" s="1405"/>
      <c r="Q727" s="1405"/>
      <c r="R727" s="1405"/>
      <c r="S727" s="1406"/>
      <c r="T727" s="1404">
        <v>0</v>
      </c>
      <c r="U727" s="1405"/>
      <c r="V727" s="1405"/>
      <c r="W727" s="1406"/>
      <c r="X727" s="1407">
        <f t="shared" si="11"/>
        <v>852</v>
      </c>
      <c r="Y727" s="1403"/>
      <c r="Z727" s="1403"/>
      <c r="AA727" s="1403"/>
      <c r="AB727" s="1408"/>
      <c r="AC727" s="1409">
        <v>0.3</v>
      </c>
      <c r="AD727" s="1410"/>
      <c r="AE727" s="1410"/>
      <c r="AF727" s="1410"/>
      <c r="AG727" s="1411"/>
      <c r="AH727" s="1463">
        <f t="shared" ref="AH727:AH760" si="39">IF($AC727&gt;0,($X727/$AZ727), "")</f>
        <v>0.3</v>
      </c>
      <c r="AI727" s="1464"/>
      <c r="AJ727" s="1465"/>
      <c r="AK727" s="1368" t="s">
        <v>2053</v>
      </c>
      <c r="AL727" s="1369"/>
      <c r="AM727" s="1369"/>
      <c r="AN727" s="1369"/>
      <c r="AO727" s="1370"/>
      <c r="AP727" s="3"/>
      <c r="AQ727" s="3"/>
      <c r="AR727" s="3"/>
      <c r="AS727" s="3"/>
      <c r="AZ727" s="118">
        <f t="shared" si="12"/>
        <v>2840</v>
      </c>
      <c r="BA727" s="3"/>
      <c r="BB727" s="3"/>
      <c r="BC727" s="3"/>
      <c r="BD727" s="3"/>
      <c r="BE727" s="204"/>
      <c r="BF727" s="294">
        <f t="shared" si="13"/>
        <v>5</v>
      </c>
      <c r="BG727" s="297">
        <f t="shared" si="14"/>
        <v>5.3763440860215055E-2</v>
      </c>
      <c r="BH727" s="298">
        <f t="shared" si="15"/>
        <v>1.6129032258064516E-2</v>
      </c>
      <c r="BI727" s="3"/>
      <c r="BJ727" s="3"/>
      <c r="BK727" s="3"/>
      <c r="BL727" s="3"/>
      <c r="BM727" s="3"/>
      <c r="BN727" s="3"/>
      <c r="BS727" s="294">
        <f t="shared" si="16"/>
        <v>5</v>
      </c>
      <c r="BT727" s="297">
        <f t="shared" si="17"/>
        <v>5.3763440860215055E-2</v>
      </c>
      <c r="BU727" s="298">
        <f t="shared" si="18"/>
        <v>1.6129032258064516E-2</v>
      </c>
      <c r="CC727" s="3"/>
      <c r="CD727" s="3"/>
      <c r="CE727" s="3"/>
      <c r="CF727" s="3"/>
      <c r="CG727" s="1559">
        <f t="shared" ref="CG727:CG760" si="40">IF(AND(AC727&lt;=0.5,AC727&gt;=0.36),1,0)</f>
        <v>0</v>
      </c>
      <c r="CH727" s="1561"/>
      <c r="CI727" s="1693">
        <f t="shared" ref="CI727:CI760" si="41">IF(CG727=1,G727,0)</f>
        <v>0</v>
      </c>
      <c r="CJ727" s="1694"/>
      <c r="CK727" s="1559">
        <f t="shared" si="19"/>
        <v>1</v>
      </c>
      <c r="CL727" s="1561"/>
      <c r="CM727" s="1693">
        <f t="shared" si="20"/>
        <v>5</v>
      </c>
      <c r="CN727" s="1694"/>
      <c r="CO727" s="3"/>
      <c r="CP727" s="1555">
        <f t="shared" si="21"/>
        <v>0</v>
      </c>
      <c r="CQ727" s="1556"/>
      <c r="CR727" s="1556"/>
      <c r="CS727" s="1556"/>
      <c r="CT727" s="1557"/>
      <c r="CU727" s="1552">
        <f t="shared" si="22"/>
        <v>5</v>
      </c>
      <c r="CV727" s="1552"/>
      <c r="CW727" s="1552"/>
      <c r="CX727" s="1552"/>
      <c r="CY727" s="1552"/>
      <c r="CZ727" s="1552">
        <f t="shared" si="23"/>
        <v>0</v>
      </c>
      <c r="DA727" s="1552"/>
      <c r="DB727" s="1552"/>
      <c r="DC727" s="1552"/>
      <c r="DD727" s="1552"/>
      <c r="DE727" s="1552">
        <f t="shared" si="24"/>
        <v>0</v>
      </c>
      <c r="DF727" s="1552"/>
      <c r="DG727" s="1552"/>
      <c r="DH727" s="1552"/>
      <c r="DI727" s="1552"/>
      <c r="DJ727" s="1552">
        <f t="shared" si="25"/>
        <v>0</v>
      </c>
      <c r="DK727" s="1552"/>
      <c r="DL727" s="1552"/>
      <c r="DM727" s="1552"/>
      <c r="DN727" s="1552"/>
      <c r="DO727" s="1552">
        <f t="shared" si="26"/>
        <v>0</v>
      </c>
      <c r="DP727" s="1552"/>
      <c r="DQ727" s="1552"/>
      <c r="DR727" s="1552"/>
      <c r="DS727" s="1552"/>
      <c r="DT727" s="6"/>
      <c r="DU727" s="1553">
        <f t="shared" si="27"/>
        <v>0</v>
      </c>
      <c r="DV727" s="1553"/>
      <c r="DW727" s="1553"/>
      <c r="DX727" s="1553"/>
      <c r="DY727" s="1553"/>
      <c r="DZ727" s="1553">
        <f t="shared" si="28"/>
        <v>5</v>
      </c>
      <c r="EA727" s="1553"/>
      <c r="EB727" s="1553"/>
      <c r="EC727" s="1553"/>
      <c r="ED727" s="1553"/>
      <c r="EE727" s="1553">
        <f t="shared" si="29"/>
        <v>0</v>
      </c>
      <c r="EF727" s="1553"/>
      <c r="EG727" s="1553"/>
      <c r="EH727" s="1553"/>
      <c r="EI727" s="1553"/>
      <c r="EJ727" s="1553">
        <f t="shared" si="30"/>
        <v>0</v>
      </c>
      <c r="EK727" s="1553"/>
      <c r="EL727" s="1553"/>
      <c r="EM727" s="1553"/>
      <c r="EN727" s="1553"/>
      <c r="EO727" s="1553">
        <f t="shared" si="31"/>
        <v>0</v>
      </c>
      <c r="EP727" s="1553"/>
      <c r="EQ727" s="1553"/>
      <c r="ER727" s="1553"/>
      <c r="ES727" s="1553"/>
      <c r="ET727" s="1553">
        <f t="shared" si="32"/>
        <v>0</v>
      </c>
      <c r="EU727" s="1553"/>
      <c r="EV727" s="1553"/>
      <c r="EW727" s="1553"/>
      <c r="EX727" s="1553"/>
      <c r="EY727" s="4"/>
      <c r="EZ727" s="1559" t="str">
        <f t="shared" si="33"/>
        <v/>
      </c>
      <c r="FA727" s="1560"/>
      <c r="FB727" s="1560"/>
      <c r="FC727" s="1560"/>
      <c r="FD727" s="1561"/>
      <c r="FE727" s="1559">
        <f t="shared" si="34"/>
        <v>852</v>
      </c>
      <c r="FF727" s="1560"/>
      <c r="FG727" s="1560"/>
      <c r="FH727" s="1560"/>
      <c r="FI727" s="1561"/>
      <c r="FJ727" s="1559" t="str">
        <f t="shared" si="35"/>
        <v/>
      </c>
      <c r="FK727" s="1560"/>
      <c r="FL727" s="1560"/>
      <c r="FM727" s="1560"/>
      <c r="FN727" s="1561"/>
      <c r="FO727" s="1559" t="str">
        <f t="shared" si="36"/>
        <v/>
      </c>
      <c r="FP727" s="1560"/>
      <c r="FQ727" s="1560"/>
      <c r="FR727" s="1560"/>
      <c r="FS727" s="1561"/>
      <c r="FT727" s="1559" t="str">
        <f t="shared" si="37"/>
        <v/>
      </c>
      <c r="FU727" s="1560"/>
      <c r="FV727" s="1560"/>
      <c r="FW727" s="1560"/>
      <c r="FX727" s="1561"/>
      <c r="FY727" s="1559" t="str">
        <f t="shared" si="38"/>
        <v/>
      </c>
      <c r="FZ727" s="1560"/>
      <c r="GA727" s="1560"/>
      <c r="GB727" s="1560"/>
      <c r="GC727" s="1561"/>
    </row>
    <row r="728" spans="1:185" ht="12.9" customHeight="1">
      <c r="A728" s="4"/>
      <c r="B728" s="1368" t="s">
        <v>325</v>
      </c>
      <c r="C728" s="1369"/>
      <c r="D728" s="1369"/>
      <c r="E728" s="1369"/>
      <c r="F728" s="1370"/>
      <c r="G728" s="1755">
        <f>31+11</f>
        <v>42</v>
      </c>
      <c r="H728" s="1363"/>
      <c r="I728" s="1363"/>
      <c r="J728" s="1364"/>
      <c r="K728" s="1466">
        <v>654</v>
      </c>
      <c r="L728" s="1366"/>
      <c r="M728" s="1366"/>
      <c r="N728" s="1367"/>
      <c r="O728" s="1404">
        <v>852</v>
      </c>
      <c r="P728" s="1405"/>
      <c r="Q728" s="1405"/>
      <c r="R728" s="1405"/>
      <c r="S728" s="1406"/>
      <c r="T728" s="1404">
        <v>0</v>
      </c>
      <c r="U728" s="1405"/>
      <c r="V728" s="1405"/>
      <c r="W728" s="1406"/>
      <c r="X728" s="1407">
        <f t="shared" si="11"/>
        <v>852</v>
      </c>
      <c r="Y728" s="1403"/>
      <c r="Z728" s="1403"/>
      <c r="AA728" s="1403"/>
      <c r="AB728" s="1408"/>
      <c r="AC728" s="1409">
        <v>0.5</v>
      </c>
      <c r="AD728" s="1410"/>
      <c r="AE728" s="1410"/>
      <c r="AF728" s="1410"/>
      <c r="AG728" s="1411"/>
      <c r="AH728" s="1463">
        <f t="shared" si="39"/>
        <v>0.3</v>
      </c>
      <c r="AI728" s="1464"/>
      <c r="AJ728" s="1465"/>
      <c r="AK728" s="1368" t="s">
        <v>2053</v>
      </c>
      <c r="AL728" s="1369"/>
      <c r="AM728" s="1369"/>
      <c r="AN728" s="1369"/>
      <c r="AO728" s="1370"/>
      <c r="AP728" s="3"/>
      <c r="AQ728" s="3"/>
      <c r="AR728" s="3"/>
      <c r="AS728" s="3"/>
      <c r="AZ728" s="118">
        <f t="shared" si="12"/>
        <v>2840</v>
      </c>
      <c r="BA728" s="3"/>
      <c r="BB728" s="3"/>
      <c r="BC728" s="3"/>
      <c r="BD728" s="3"/>
      <c r="BE728" s="204"/>
      <c r="BF728" s="294">
        <f t="shared" si="13"/>
        <v>42</v>
      </c>
      <c r="BG728" s="297">
        <f t="shared" si="14"/>
        <v>0.45161290322580644</v>
      </c>
      <c r="BH728" s="298">
        <f t="shared" si="15"/>
        <v>0.22580645161290322</v>
      </c>
      <c r="BI728" s="3"/>
      <c r="BJ728" s="3"/>
      <c r="BK728" s="3"/>
      <c r="BL728" s="3"/>
      <c r="BM728" s="3"/>
      <c r="BN728" s="3"/>
      <c r="BS728" s="294">
        <f t="shared" si="16"/>
        <v>42</v>
      </c>
      <c r="BT728" s="297">
        <f t="shared" si="17"/>
        <v>0.45161290322580644</v>
      </c>
      <c r="BU728" s="298">
        <f t="shared" si="18"/>
        <v>0.13548387096774192</v>
      </c>
      <c r="CC728" s="3"/>
      <c r="CD728" s="3"/>
      <c r="CE728" s="3"/>
      <c r="CF728" s="3"/>
      <c r="CG728" s="1559">
        <f t="shared" si="40"/>
        <v>1</v>
      </c>
      <c r="CH728" s="1561"/>
      <c r="CI728" s="1693">
        <f t="shared" si="41"/>
        <v>42</v>
      </c>
      <c r="CJ728" s="1694"/>
      <c r="CK728" s="1559">
        <f t="shared" si="19"/>
        <v>0</v>
      </c>
      <c r="CL728" s="1561"/>
      <c r="CM728" s="1693">
        <f t="shared" si="20"/>
        <v>0</v>
      </c>
      <c r="CN728" s="1694"/>
      <c r="CO728" s="3"/>
      <c r="CP728" s="1555">
        <f t="shared" si="21"/>
        <v>0</v>
      </c>
      <c r="CQ728" s="1556"/>
      <c r="CR728" s="1556"/>
      <c r="CS728" s="1556"/>
      <c r="CT728" s="1557"/>
      <c r="CU728" s="1552">
        <f t="shared" si="22"/>
        <v>42</v>
      </c>
      <c r="CV728" s="1552"/>
      <c r="CW728" s="1552"/>
      <c r="CX728" s="1552"/>
      <c r="CY728" s="1552"/>
      <c r="CZ728" s="1552">
        <f t="shared" si="23"/>
        <v>0</v>
      </c>
      <c r="DA728" s="1552"/>
      <c r="DB728" s="1552"/>
      <c r="DC728" s="1552"/>
      <c r="DD728" s="1552"/>
      <c r="DE728" s="1552">
        <f t="shared" si="24"/>
        <v>0</v>
      </c>
      <c r="DF728" s="1552"/>
      <c r="DG728" s="1552"/>
      <c r="DH728" s="1552"/>
      <c r="DI728" s="1552"/>
      <c r="DJ728" s="1552">
        <f t="shared" si="25"/>
        <v>0</v>
      </c>
      <c r="DK728" s="1552"/>
      <c r="DL728" s="1552"/>
      <c r="DM728" s="1552"/>
      <c r="DN728" s="1552"/>
      <c r="DO728" s="1552">
        <f t="shared" si="26"/>
        <v>0</v>
      </c>
      <c r="DP728" s="1552"/>
      <c r="DQ728" s="1552"/>
      <c r="DR728" s="1552"/>
      <c r="DS728" s="1552"/>
      <c r="DT728" s="6"/>
      <c r="DU728" s="1553">
        <f t="shared" si="27"/>
        <v>0</v>
      </c>
      <c r="DV728" s="1553"/>
      <c r="DW728" s="1553"/>
      <c r="DX728" s="1553"/>
      <c r="DY728" s="1553"/>
      <c r="DZ728" s="1553">
        <f t="shared" si="28"/>
        <v>0</v>
      </c>
      <c r="EA728" s="1553"/>
      <c r="EB728" s="1553"/>
      <c r="EC728" s="1553"/>
      <c r="ED728" s="1553"/>
      <c r="EE728" s="1553">
        <f t="shared" si="29"/>
        <v>0</v>
      </c>
      <c r="EF728" s="1553"/>
      <c r="EG728" s="1553"/>
      <c r="EH728" s="1553"/>
      <c r="EI728" s="1553"/>
      <c r="EJ728" s="1553">
        <f t="shared" si="30"/>
        <v>0</v>
      </c>
      <c r="EK728" s="1553"/>
      <c r="EL728" s="1553"/>
      <c r="EM728" s="1553"/>
      <c r="EN728" s="1553"/>
      <c r="EO728" s="1553">
        <f t="shared" si="31"/>
        <v>0</v>
      </c>
      <c r="EP728" s="1553"/>
      <c r="EQ728" s="1553"/>
      <c r="ER728" s="1553"/>
      <c r="ES728" s="1553"/>
      <c r="ET728" s="1553">
        <f t="shared" si="32"/>
        <v>0</v>
      </c>
      <c r="EU728" s="1553"/>
      <c r="EV728" s="1553"/>
      <c r="EW728" s="1553"/>
      <c r="EX728" s="1553"/>
      <c r="EZ728" s="1559" t="str">
        <f t="shared" si="33"/>
        <v/>
      </c>
      <c r="FA728" s="1560"/>
      <c r="FB728" s="1560"/>
      <c r="FC728" s="1560"/>
      <c r="FD728" s="1561"/>
      <c r="FE728" s="1559">
        <f t="shared" si="34"/>
        <v>852</v>
      </c>
      <c r="FF728" s="1560"/>
      <c r="FG728" s="1560"/>
      <c r="FH728" s="1560"/>
      <c r="FI728" s="1561"/>
      <c r="FJ728" s="1559" t="str">
        <f t="shared" si="35"/>
        <v/>
      </c>
      <c r="FK728" s="1560"/>
      <c r="FL728" s="1560"/>
      <c r="FM728" s="1560"/>
      <c r="FN728" s="1561"/>
      <c r="FO728" s="1559" t="str">
        <f t="shared" si="36"/>
        <v/>
      </c>
      <c r="FP728" s="1560"/>
      <c r="FQ728" s="1560"/>
      <c r="FR728" s="1560"/>
      <c r="FS728" s="1561"/>
      <c r="FT728" s="1559" t="str">
        <f t="shared" si="37"/>
        <v/>
      </c>
      <c r="FU728" s="1560"/>
      <c r="FV728" s="1560"/>
      <c r="FW728" s="1560"/>
      <c r="FX728" s="1561"/>
      <c r="FY728" s="1559" t="str">
        <f t="shared" si="38"/>
        <v/>
      </c>
      <c r="FZ728" s="1560"/>
      <c r="GA728" s="1560"/>
      <c r="GB728" s="1560"/>
      <c r="GC728" s="1561"/>
    </row>
    <row r="729" spans="1:185" ht="12.9" customHeight="1">
      <c r="B729" s="1368" t="s">
        <v>163</v>
      </c>
      <c r="C729" s="1369"/>
      <c r="D729" s="1369"/>
      <c r="E729" s="1369"/>
      <c r="F729" s="1370"/>
      <c r="G729" s="1362">
        <v>1</v>
      </c>
      <c r="H729" s="1363"/>
      <c r="I729" s="1363"/>
      <c r="J729" s="1364"/>
      <c r="K729" s="1365">
        <v>909</v>
      </c>
      <c r="L729" s="1366"/>
      <c r="M729" s="1366"/>
      <c r="N729" s="1367"/>
      <c r="O729" s="1404">
        <v>1022</v>
      </c>
      <c r="P729" s="1405"/>
      <c r="Q729" s="1405"/>
      <c r="R729" s="1405"/>
      <c r="S729" s="1406"/>
      <c r="T729" s="1404">
        <v>0</v>
      </c>
      <c r="U729" s="1405"/>
      <c r="V729" s="1405"/>
      <c r="W729" s="1406"/>
      <c r="X729" s="1407">
        <f t="shared" si="11"/>
        <v>1022</v>
      </c>
      <c r="Y729" s="1403"/>
      <c r="Z729" s="1403"/>
      <c r="AA729" s="1403"/>
      <c r="AB729" s="1408"/>
      <c r="AC729" s="1409">
        <v>0.3</v>
      </c>
      <c r="AD729" s="1410"/>
      <c r="AE729" s="1410"/>
      <c r="AF729" s="1410"/>
      <c r="AG729" s="1411"/>
      <c r="AH729" s="1463">
        <f t="shared" si="39"/>
        <v>0.30005871990604815</v>
      </c>
      <c r="AI729" s="1464"/>
      <c r="AJ729" s="1465"/>
      <c r="AK729" s="1368" t="s">
        <v>2053</v>
      </c>
      <c r="AL729" s="1369"/>
      <c r="AM729" s="1369"/>
      <c r="AN729" s="1369"/>
      <c r="AO729" s="1370"/>
      <c r="AP729" s="3"/>
      <c r="AQ729" s="3"/>
      <c r="AR729" s="3"/>
      <c r="AS729" s="3"/>
      <c r="AY729" s="116"/>
      <c r="AZ729" s="118">
        <f t="shared" si="12"/>
        <v>3406</v>
      </c>
      <c r="BA729" s="3"/>
      <c r="BB729" s="3"/>
      <c r="BC729" s="3"/>
      <c r="BD729" s="3"/>
      <c r="BE729" s="204"/>
      <c r="BF729" s="294">
        <f t="shared" si="13"/>
        <v>1</v>
      </c>
      <c r="BG729" s="297">
        <f t="shared" si="14"/>
        <v>1.0752688172043012E-2</v>
      </c>
      <c r="BH729" s="298">
        <f t="shared" si="15"/>
        <v>3.2258064516129032E-3</v>
      </c>
      <c r="BI729" s="3"/>
      <c r="BJ729" s="3"/>
      <c r="BK729" s="3"/>
      <c r="BL729" s="3"/>
      <c r="BM729" s="3"/>
      <c r="BN729" s="3"/>
      <c r="BS729" s="294">
        <f t="shared" si="16"/>
        <v>1</v>
      </c>
      <c r="BT729" s="297">
        <f t="shared" si="17"/>
        <v>1.0752688172043012E-2</v>
      </c>
      <c r="BU729" s="298">
        <f t="shared" si="18"/>
        <v>3.226437848452131E-3</v>
      </c>
      <c r="CC729" s="3"/>
      <c r="CD729" s="3"/>
      <c r="CE729" s="3"/>
      <c r="CF729" s="3"/>
      <c r="CG729" s="1559">
        <f t="shared" si="40"/>
        <v>0</v>
      </c>
      <c r="CH729" s="1561"/>
      <c r="CI729" s="1693">
        <f t="shared" si="41"/>
        <v>0</v>
      </c>
      <c r="CJ729" s="1694"/>
      <c r="CK729" s="1559">
        <f t="shared" si="19"/>
        <v>1</v>
      </c>
      <c r="CL729" s="1561"/>
      <c r="CM729" s="1693">
        <f t="shared" si="20"/>
        <v>1</v>
      </c>
      <c r="CN729" s="1694"/>
      <c r="CO729" s="3"/>
      <c r="CP729" s="1555">
        <f t="shared" si="21"/>
        <v>0</v>
      </c>
      <c r="CQ729" s="1556"/>
      <c r="CR729" s="1556"/>
      <c r="CS729" s="1556"/>
      <c r="CT729" s="1557"/>
      <c r="CU729" s="1552">
        <f t="shared" si="22"/>
        <v>0</v>
      </c>
      <c r="CV729" s="1552"/>
      <c r="CW729" s="1552"/>
      <c r="CX729" s="1552"/>
      <c r="CY729" s="1552"/>
      <c r="CZ729" s="1552">
        <f t="shared" si="23"/>
        <v>1</v>
      </c>
      <c r="DA729" s="1552"/>
      <c r="DB729" s="1552"/>
      <c r="DC729" s="1552"/>
      <c r="DD729" s="1552"/>
      <c r="DE729" s="1552">
        <f t="shared" si="24"/>
        <v>0</v>
      </c>
      <c r="DF729" s="1552"/>
      <c r="DG729" s="1552"/>
      <c r="DH729" s="1552"/>
      <c r="DI729" s="1552"/>
      <c r="DJ729" s="1552">
        <f t="shared" si="25"/>
        <v>0</v>
      </c>
      <c r="DK729" s="1552"/>
      <c r="DL729" s="1552"/>
      <c r="DM729" s="1552"/>
      <c r="DN729" s="1552"/>
      <c r="DO729" s="1552">
        <f t="shared" si="26"/>
        <v>0</v>
      </c>
      <c r="DP729" s="1552"/>
      <c r="DQ729" s="1552"/>
      <c r="DR729" s="1552"/>
      <c r="DS729" s="1552"/>
      <c r="DT729" s="6"/>
      <c r="DU729" s="1553">
        <f t="shared" si="27"/>
        <v>0</v>
      </c>
      <c r="DV729" s="1553"/>
      <c r="DW729" s="1553"/>
      <c r="DX729" s="1553"/>
      <c r="DY729" s="1553"/>
      <c r="DZ729" s="1553">
        <f t="shared" si="28"/>
        <v>0</v>
      </c>
      <c r="EA729" s="1553"/>
      <c r="EB729" s="1553"/>
      <c r="EC729" s="1553"/>
      <c r="ED729" s="1553"/>
      <c r="EE729" s="1553">
        <f t="shared" si="29"/>
        <v>1</v>
      </c>
      <c r="EF729" s="1553"/>
      <c r="EG729" s="1553"/>
      <c r="EH729" s="1553"/>
      <c r="EI729" s="1553"/>
      <c r="EJ729" s="1553">
        <f t="shared" si="30"/>
        <v>0</v>
      </c>
      <c r="EK729" s="1553"/>
      <c r="EL729" s="1553"/>
      <c r="EM729" s="1553"/>
      <c r="EN729" s="1553"/>
      <c r="EO729" s="1553">
        <f t="shared" si="31"/>
        <v>0</v>
      </c>
      <c r="EP729" s="1553"/>
      <c r="EQ729" s="1553"/>
      <c r="ER729" s="1553"/>
      <c r="ES729" s="1553"/>
      <c r="ET729" s="1553">
        <f t="shared" si="32"/>
        <v>0</v>
      </c>
      <c r="EU729" s="1553"/>
      <c r="EV729" s="1553"/>
      <c r="EW729" s="1553"/>
      <c r="EX729" s="1553"/>
      <c r="EZ729" s="1559" t="str">
        <f t="shared" si="33"/>
        <v/>
      </c>
      <c r="FA729" s="1560"/>
      <c r="FB729" s="1560"/>
      <c r="FC729" s="1560"/>
      <c r="FD729" s="1561"/>
      <c r="FE729" s="1559" t="str">
        <f t="shared" si="34"/>
        <v/>
      </c>
      <c r="FF729" s="1560"/>
      <c r="FG729" s="1560"/>
      <c r="FH729" s="1560"/>
      <c r="FI729" s="1561"/>
      <c r="FJ729" s="1559">
        <f t="shared" si="35"/>
        <v>1022</v>
      </c>
      <c r="FK729" s="1560"/>
      <c r="FL729" s="1560"/>
      <c r="FM729" s="1560"/>
      <c r="FN729" s="1561"/>
      <c r="FO729" s="1559" t="str">
        <f t="shared" si="36"/>
        <v/>
      </c>
      <c r="FP729" s="1560"/>
      <c r="FQ729" s="1560"/>
      <c r="FR729" s="1560"/>
      <c r="FS729" s="1561"/>
      <c r="FT729" s="1559" t="str">
        <f t="shared" si="37"/>
        <v/>
      </c>
      <c r="FU729" s="1560"/>
      <c r="FV729" s="1560"/>
      <c r="FW729" s="1560"/>
      <c r="FX729" s="1561"/>
      <c r="FY729" s="1559" t="str">
        <f t="shared" si="38"/>
        <v/>
      </c>
      <c r="FZ729" s="1560"/>
      <c r="GA729" s="1560"/>
      <c r="GB729" s="1560"/>
      <c r="GC729" s="1561"/>
    </row>
    <row r="730" spans="1:185" ht="12.9" customHeight="1">
      <c r="B730" s="1368" t="s">
        <v>163</v>
      </c>
      <c r="C730" s="1369"/>
      <c r="D730" s="1369"/>
      <c r="E730" s="1369"/>
      <c r="F730" s="1370"/>
      <c r="G730" s="1362">
        <v>4</v>
      </c>
      <c r="H730" s="1363"/>
      <c r="I730" s="1363"/>
      <c r="J730" s="1364"/>
      <c r="K730" s="1466">
        <v>909</v>
      </c>
      <c r="L730" s="1366"/>
      <c r="M730" s="1366"/>
      <c r="N730" s="1367"/>
      <c r="O730" s="1404">
        <v>1022</v>
      </c>
      <c r="P730" s="1405"/>
      <c r="Q730" s="1405"/>
      <c r="R730" s="1405"/>
      <c r="S730" s="1406"/>
      <c r="T730" s="1404">
        <v>0</v>
      </c>
      <c r="U730" s="1405"/>
      <c r="V730" s="1405"/>
      <c r="W730" s="1406"/>
      <c r="X730" s="1407">
        <f t="shared" si="11"/>
        <v>1022</v>
      </c>
      <c r="Y730" s="1403"/>
      <c r="Z730" s="1403"/>
      <c r="AA730" s="1403"/>
      <c r="AB730" s="1408"/>
      <c r="AC730" s="1409">
        <v>0.5</v>
      </c>
      <c r="AD730" s="1410"/>
      <c r="AE730" s="1410"/>
      <c r="AF730" s="1410"/>
      <c r="AG730" s="1411"/>
      <c r="AH730" s="1463">
        <f t="shared" si="39"/>
        <v>0.30005871990604815</v>
      </c>
      <c r="AI730" s="1464"/>
      <c r="AJ730" s="1465"/>
      <c r="AK730" s="1368" t="s">
        <v>2053</v>
      </c>
      <c r="AL730" s="1369"/>
      <c r="AM730" s="1369"/>
      <c r="AN730" s="1369"/>
      <c r="AO730" s="1370"/>
      <c r="AP730" s="3"/>
      <c r="AQ730" s="3"/>
      <c r="AR730" s="3"/>
      <c r="AS730" s="3"/>
      <c r="AY730" s="116"/>
      <c r="AZ730" s="118">
        <f t="shared" si="12"/>
        <v>3406</v>
      </c>
      <c r="BA730" s="3"/>
      <c r="BB730" s="3"/>
      <c r="BC730" s="3"/>
      <c r="BD730" s="3"/>
      <c r="BE730" s="204"/>
      <c r="BF730" s="294">
        <f t="shared" si="13"/>
        <v>4</v>
      </c>
      <c r="BG730" s="297">
        <f t="shared" si="14"/>
        <v>4.3010752688172046E-2</v>
      </c>
      <c r="BH730" s="298">
        <f t="shared" si="15"/>
        <v>2.1505376344086023E-2</v>
      </c>
      <c r="BI730" s="3"/>
      <c r="BJ730" s="3"/>
      <c r="BK730" s="3"/>
      <c r="BL730" s="3"/>
      <c r="BM730" s="3"/>
      <c r="BN730" s="3"/>
      <c r="BS730" s="294">
        <f t="shared" si="16"/>
        <v>4</v>
      </c>
      <c r="BT730" s="297">
        <f t="shared" si="17"/>
        <v>4.3010752688172046E-2</v>
      </c>
      <c r="BU730" s="298">
        <f t="shared" si="18"/>
        <v>1.2905751393808524E-2</v>
      </c>
      <c r="CC730" s="3"/>
      <c r="CD730" s="3"/>
      <c r="CE730" s="3"/>
      <c r="CF730" s="3"/>
      <c r="CG730" s="1559">
        <f t="shared" si="40"/>
        <v>1</v>
      </c>
      <c r="CH730" s="1561"/>
      <c r="CI730" s="1693">
        <f t="shared" si="41"/>
        <v>4</v>
      </c>
      <c r="CJ730" s="1694"/>
      <c r="CK730" s="1559">
        <f t="shared" si="19"/>
        <v>0</v>
      </c>
      <c r="CL730" s="1561"/>
      <c r="CM730" s="1693">
        <f t="shared" si="20"/>
        <v>0</v>
      </c>
      <c r="CN730" s="1694"/>
      <c r="CO730" s="3"/>
      <c r="CP730" s="1555">
        <f t="shared" si="21"/>
        <v>0</v>
      </c>
      <c r="CQ730" s="1556"/>
      <c r="CR730" s="1556"/>
      <c r="CS730" s="1556"/>
      <c r="CT730" s="1557"/>
      <c r="CU730" s="1552">
        <f t="shared" si="22"/>
        <v>0</v>
      </c>
      <c r="CV730" s="1552"/>
      <c r="CW730" s="1552"/>
      <c r="CX730" s="1552"/>
      <c r="CY730" s="1552"/>
      <c r="CZ730" s="1552">
        <f t="shared" si="23"/>
        <v>4</v>
      </c>
      <c r="DA730" s="1552"/>
      <c r="DB730" s="1552"/>
      <c r="DC730" s="1552"/>
      <c r="DD730" s="1552"/>
      <c r="DE730" s="1552">
        <f t="shared" si="24"/>
        <v>0</v>
      </c>
      <c r="DF730" s="1552"/>
      <c r="DG730" s="1552"/>
      <c r="DH730" s="1552"/>
      <c r="DI730" s="1552"/>
      <c r="DJ730" s="1552">
        <f t="shared" si="25"/>
        <v>0</v>
      </c>
      <c r="DK730" s="1552"/>
      <c r="DL730" s="1552"/>
      <c r="DM730" s="1552"/>
      <c r="DN730" s="1552"/>
      <c r="DO730" s="1552">
        <f t="shared" si="26"/>
        <v>0</v>
      </c>
      <c r="DP730" s="1552"/>
      <c r="DQ730" s="1552"/>
      <c r="DR730" s="1552"/>
      <c r="DS730" s="1552"/>
      <c r="DT730" s="6"/>
      <c r="DU730" s="1553">
        <f t="shared" si="27"/>
        <v>0</v>
      </c>
      <c r="DV730" s="1553"/>
      <c r="DW730" s="1553"/>
      <c r="DX730" s="1553"/>
      <c r="DY730" s="1553"/>
      <c r="DZ730" s="1553">
        <f t="shared" si="28"/>
        <v>0</v>
      </c>
      <c r="EA730" s="1553"/>
      <c r="EB730" s="1553"/>
      <c r="EC730" s="1553"/>
      <c r="ED730" s="1553"/>
      <c r="EE730" s="1553">
        <f t="shared" si="29"/>
        <v>0</v>
      </c>
      <c r="EF730" s="1553"/>
      <c r="EG730" s="1553"/>
      <c r="EH730" s="1553"/>
      <c r="EI730" s="1553"/>
      <c r="EJ730" s="1553">
        <f t="shared" si="30"/>
        <v>0</v>
      </c>
      <c r="EK730" s="1553"/>
      <c r="EL730" s="1553"/>
      <c r="EM730" s="1553"/>
      <c r="EN730" s="1553"/>
      <c r="EO730" s="1553">
        <f t="shared" si="31"/>
        <v>0</v>
      </c>
      <c r="EP730" s="1553"/>
      <c r="EQ730" s="1553"/>
      <c r="ER730" s="1553"/>
      <c r="ES730" s="1553"/>
      <c r="ET730" s="1553">
        <f t="shared" si="32"/>
        <v>0</v>
      </c>
      <c r="EU730" s="1553"/>
      <c r="EV730" s="1553"/>
      <c r="EW730" s="1553"/>
      <c r="EX730" s="1553"/>
      <c r="EZ730" s="1559" t="str">
        <f t="shared" si="33"/>
        <v/>
      </c>
      <c r="FA730" s="1560"/>
      <c r="FB730" s="1560"/>
      <c r="FC730" s="1560"/>
      <c r="FD730" s="1561"/>
      <c r="FE730" s="1559" t="str">
        <f t="shared" si="34"/>
        <v/>
      </c>
      <c r="FF730" s="1560"/>
      <c r="FG730" s="1560"/>
      <c r="FH730" s="1560"/>
      <c r="FI730" s="1561"/>
      <c r="FJ730" s="1559">
        <f t="shared" si="35"/>
        <v>1022</v>
      </c>
      <c r="FK730" s="1560"/>
      <c r="FL730" s="1560"/>
      <c r="FM730" s="1560"/>
      <c r="FN730" s="1561"/>
      <c r="FO730" s="1559" t="str">
        <f t="shared" si="36"/>
        <v/>
      </c>
      <c r="FP730" s="1560"/>
      <c r="FQ730" s="1560"/>
      <c r="FR730" s="1560"/>
      <c r="FS730" s="1561"/>
      <c r="FT730" s="1559" t="str">
        <f t="shared" si="37"/>
        <v/>
      </c>
      <c r="FU730" s="1560"/>
      <c r="FV730" s="1560"/>
      <c r="FW730" s="1560"/>
      <c r="FX730" s="1561"/>
      <c r="FY730" s="1559" t="str">
        <f t="shared" si="38"/>
        <v/>
      </c>
      <c r="FZ730" s="1560"/>
      <c r="GA730" s="1560"/>
      <c r="GB730" s="1560"/>
      <c r="GC730" s="1561"/>
    </row>
    <row r="731" spans="1:185" ht="12.9" customHeight="1">
      <c r="B731" s="1368"/>
      <c r="C731" s="1369"/>
      <c r="D731" s="1369"/>
      <c r="E731" s="1369"/>
      <c r="F731" s="1370"/>
      <c r="G731" s="1362"/>
      <c r="H731" s="1363"/>
      <c r="I731" s="1363"/>
      <c r="J731" s="1364"/>
      <c r="K731" s="1365"/>
      <c r="L731" s="1366"/>
      <c r="M731" s="1366"/>
      <c r="N731" s="1367"/>
      <c r="O731" s="1404"/>
      <c r="P731" s="1405"/>
      <c r="Q731" s="1405"/>
      <c r="R731" s="1405"/>
      <c r="S731" s="1406"/>
      <c r="T731" s="1404"/>
      <c r="U731" s="1405"/>
      <c r="V731" s="1405"/>
      <c r="W731" s="1406"/>
      <c r="X731" s="1407">
        <f t="shared" si="11"/>
        <v>0</v>
      </c>
      <c r="Y731" s="1403"/>
      <c r="Z731" s="1403"/>
      <c r="AA731" s="1403"/>
      <c r="AB731" s="1408"/>
      <c r="AC731" s="1409"/>
      <c r="AD731" s="1410"/>
      <c r="AE731" s="1410"/>
      <c r="AF731" s="1410"/>
      <c r="AG731" s="1411"/>
      <c r="AH731" s="1463" t="str">
        <f t="shared" si="39"/>
        <v/>
      </c>
      <c r="AI731" s="1464"/>
      <c r="AJ731" s="1465"/>
      <c r="AK731" s="1368" t="s">
        <v>591</v>
      </c>
      <c r="AL731" s="1369"/>
      <c r="AM731" s="1369"/>
      <c r="AN731" s="1369"/>
      <c r="AO731" s="1370"/>
      <c r="AP731" s="3"/>
      <c r="AQ731" s="3"/>
      <c r="AR731" s="3"/>
      <c r="AS731" s="3"/>
      <c r="AY731" s="116"/>
      <c r="AZ731" s="118" t="str">
        <f t="shared" si="12"/>
        <v>N/A</v>
      </c>
      <c r="BA731" s="3"/>
      <c r="BB731" s="3"/>
      <c r="BC731" s="3"/>
      <c r="BD731" s="3"/>
      <c r="BE731" s="204"/>
      <c r="BF731" s="294">
        <f t="shared" si="13"/>
        <v>0</v>
      </c>
      <c r="BG731" s="297">
        <f t="shared" si="14"/>
        <v>0</v>
      </c>
      <c r="BH731" s="298" t="str">
        <f t="shared" si="15"/>
        <v/>
      </c>
      <c r="BI731" s="3"/>
      <c r="BJ731" s="3"/>
      <c r="BK731" s="3"/>
      <c r="BL731" s="3"/>
      <c r="BM731" s="3"/>
      <c r="BN731" s="3"/>
      <c r="BS731" s="294">
        <f t="shared" si="16"/>
        <v>0</v>
      </c>
      <c r="BT731" s="297">
        <f t="shared" si="17"/>
        <v>0</v>
      </c>
      <c r="BU731" s="298" t="str">
        <f t="shared" si="18"/>
        <v/>
      </c>
      <c r="CC731" s="3"/>
      <c r="CD731" s="3"/>
      <c r="CE731" s="3"/>
      <c r="CF731" s="3"/>
      <c r="CG731" s="1559">
        <f t="shared" si="40"/>
        <v>0</v>
      </c>
      <c r="CH731" s="1561"/>
      <c r="CI731" s="1693">
        <f t="shared" si="41"/>
        <v>0</v>
      </c>
      <c r="CJ731" s="1694"/>
      <c r="CK731" s="1559">
        <f t="shared" si="19"/>
        <v>0</v>
      </c>
      <c r="CL731" s="1561"/>
      <c r="CM731" s="1693">
        <f t="shared" si="20"/>
        <v>0</v>
      </c>
      <c r="CN731" s="1694"/>
      <c r="CO731" s="3"/>
      <c r="CP731" s="1555">
        <f t="shared" si="21"/>
        <v>0</v>
      </c>
      <c r="CQ731" s="1556"/>
      <c r="CR731" s="1556"/>
      <c r="CS731" s="1556"/>
      <c r="CT731" s="1557"/>
      <c r="CU731" s="1552">
        <f t="shared" si="22"/>
        <v>0</v>
      </c>
      <c r="CV731" s="1552"/>
      <c r="CW731" s="1552"/>
      <c r="CX731" s="1552"/>
      <c r="CY731" s="1552"/>
      <c r="CZ731" s="1552">
        <f t="shared" si="23"/>
        <v>0</v>
      </c>
      <c r="DA731" s="1552"/>
      <c r="DB731" s="1552"/>
      <c r="DC731" s="1552"/>
      <c r="DD731" s="1552"/>
      <c r="DE731" s="1552">
        <f t="shared" si="24"/>
        <v>0</v>
      </c>
      <c r="DF731" s="1552"/>
      <c r="DG731" s="1552"/>
      <c r="DH731" s="1552"/>
      <c r="DI731" s="1552"/>
      <c r="DJ731" s="1552">
        <f t="shared" si="25"/>
        <v>0</v>
      </c>
      <c r="DK731" s="1552"/>
      <c r="DL731" s="1552"/>
      <c r="DM731" s="1552"/>
      <c r="DN731" s="1552"/>
      <c r="DO731" s="1552">
        <f t="shared" si="26"/>
        <v>0</v>
      </c>
      <c r="DP731" s="1552"/>
      <c r="DQ731" s="1552"/>
      <c r="DR731" s="1552"/>
      <c r="DS731" s="1552"/>
      <c r="DT731" s="6"/>
      <c r="DU731" s="1553">
        <f t="shared" si="27"/>
        <v>0</v>
      </c>
      <c r="DV731" s="1553"/>
      <c r="DW731" s="1553"/>
      <c r="DX731" s="1553"/>
      <c r="DY731" s="1553"/>
      <c r="DZ731" s="1553">
        <f t="shared" si="28"/>
        <v>0</v>
      </c>
      <c r="EA731" s="1553"/>
      <c r="EB731" s="1553"/>
      <c r="EC731" s="1553"/>
      <c r="ED731" s="1553"/>
      <c r="EE731" s="1553">
        <f t="shared" si="29"/>
        <v>0</v>
      </c>
      <c r="EF731" s="1553"/>
      <c r="EG731" s="1553"/>
      <c r="EH731" s="1553"/>
      <c r="EI731" s="1553"/>
      <c r="EJ731" s="1553">
        <f t="shared" si="30"/>
        <v>0</v>
      </c>
      <c r="EK731" s="1553"/>
      <c r="EL731" s="1553"/>
      <c r="EM731" s="1553"/>
      <c r="EN731" s="1553"/>
      <c r="EO731" s="1553">
        <f t="shared" si="31"/>
        <v>0</v>
      </c>
      <c r="EP731" s="1553"/>
      <c r="EQ731" s="1553"/>
      <c r="ER731" s="1553"/>
      <c r="ES731" s="1553"/>
      <c r="ET731" s="1553">
        <f t="shared" si="32"/>
        <v>0</v>
      </c>
      <c r="EU731" s="1553"/>
      <c r="EV731" s="1553"/>
      <c r="EW731" s="1553"/>
      <c r="EX731" s="1553"/>
      <c r="EZ731" s="1559" t="str">
        <f t="shared" si="33"/>
        <v/>
      </c>
      <c r="FA731" s="1560"/>
      <c r="FB731" s="1560"/>
      <c r="FC731" s="1560"/>
      <c r="FD731" s="1561"/>
      <c r="FE731" s="1559" t="str">
        <f t="shared" si="34"/>
        <v/>
      </c>
      <c r="FF731" s="1560"/>
      <c r="FG731" s="1560"/>
      <c r="FH731" s="1560"/>
      <c r="FI731" s="1561"/>
      <c r="FJ731" s="1559" t="str">
        <f t="shared" si="35"/>
        <v/>
      </c>
      <c r="FK731" s="1560"/>
      <c r="FL731" s="1560"/>
      <c r="FM731" s="1560"/>
      <c r="FN731" s="1561"/>
      <c r="FO731" s="1559" t="str">
        <f t="shared" si="36"/>
        <v/>
      </c>
      <c r="FP731" s="1560"/>
      <c r="FQ731" s="1560"/>
      <c r="FR731" s="1560"/>
      <c r="FS731" s="1561"/>
      <c r="FT731" s="1559" t="str">
        <f t="shared" si="37"/>
        <v/>
      </c>
      <c r="FU731" s="1560"/>
      <c r="FV731" s="1560"/>
      <c r="FW731" s="1560"/>
      <c r="FX731" s="1561"/>
      <c r="FY731" s="1559" t="str">
        <f t="shared" si="38"/>
        <v/>
      </c>
      <c r="FZ731" s="1560"/>
      <c r="GA731" s="1560"/>
      <c r="GB731" s="1560"/>
      <c r="GC731" s="1561"/>
    </row>
    <row r="732" spans="1:185" ht="12.9" customHeight="1">
      <c r="B732" s="1368"/>
      <c r="C732" s="1369"/>
      <c r="D732" s="1369"/>
      <c r="E732" s="1369"/>
      <c r="F732" s="1370"/>
      <c r="G732" s="1362"/>
      <c r="H732" s="1363"/>
      <c r="I732" s="1363"/>
      <c r="J732" s="1364"/>
      <c r="K732" s="1365"/>
      <c r="L732" s="1366"/>
      <c r="M732" s="1366"/>
      <c r="N732" s="1367"/>
      <c r="O732" s="1404"/>
      <c r="P732" s="1405"/>
      <c r="Q732" s="1405"/>
      <c r="R732" s="1405"/>
      <c r="S732" s="1406"/>
      <c r="T732" s="1404"/>
      <c r="U732" s="1405"/>
      <c r="V732" s="1405"/>
      <c r="W732" s="1406"/>
      <c r="X732" s="1407">
        <f t="shared" si="11"/>
        <v>0</v>
      </c>
      <c r="Y732" s="1403"/>
      <c r="Z732" s="1403"/>
      <c r="AA732" s="1403"/>
      <c r="AB732" s="1408"/>
      <c r="AC732" s="1409"/>
      <c r="AD732" s="1410"/>
      <c r="AE732" s="1410"/>
      <c r="AF732" s="1410"/>
      <c r="AG732" s="1411"/>
      <c r="AH732" s="1463" t="str">
        <f t="shared" si="39"/>
        <v/>
      </c>
      <c r="AI732" s="1464"/>
      <c r="AJ732" s="1465"/>
      <c r="AK732" s="1368" t="s">
        <v>591</v>
      </c>
      <c r="AL732" s="1369"/>
      <c r="AM732" s="1369"/>
      <c r="AN732" s="1369"/>
      <c r="AO732" s="1370"/>
      <c r="AP732" s="3"/>
      <c r="AQ732" s="3"/>
      <c r="AR732" s="3"/>
      <c r="AS732" s="3"/>
      <c r="AY732" s="116"/>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CC732" s="3"/>
      <c r="CE732" s="3"/>
      <c r="CF732" s="3"/>
      <c r="CG732" s="1559">
        <f t="shared" si="40"/>
        <v>0</v>
      </c>
      <c r="CH732" s="1561"/>
      <c r="CI732" s="1693">
        <f t="shared" si="41"/>
        <v>0</v>
      </c>
      <c r="CJ732" s="1694"/>
      <c r="CK732" s="1559">
        <f t="shared" si="19"/>
        <v>0</v>
      </c>
      <c r="CL732" s="1561"/>
      <c r="CM732" s="1693">
        <f t="shared" si="20"/>
        <v>0</v>
      </c>
      <c r="CN732" s="1694"/>
      <c r="CO732" s="3"/>
      <c r="CP732" s="1555">
        <f t="shared" si="21"/>
        <v>0</v>
      </c>
      <c r="CQ732" s="1556"/>
      <c r="CR732" s="1556"/>
      <c r="CS732" s="1556"/>
      <c r="CT732" s="1557"/>
      <c r="CU732" s="1552">
        <f t="shared" si="22"/>
        <v>0</v>
      </c>
      <c r="CV732" s="1552"/>
      <c r="CW732" s="1552"/>
      <c r="CX732" s="1552"/>
      <c r="CY732" s="1552"/>
      <c r="CZ732" s="1552">
        <f t="shared" si="23"/>
        <v>0</v>
      </c>
      <c r="DA732" s="1552"/>
      <c r="DB732" s="1552"/>
      <c r="DC732" s="1552"/>
      <c r="DD732" s="1552"/>
      <c r="DE732" s="1552">
        <f t="shared" si="24"/>
        <v>0</v>
      </c>
      <c r="DF732" s="1552"/>
      <c r="DG732" s="1552"/>
      <c r="DH732" s="1552"/>
      <c r="DI732" s="1552"/>
      <c r="DJ732" s="1552">
        <f t="shared" si="25"/>
        <v>0</v>
      </c>
      <c r="DK732" s="1552"/>
      <c r="DL732" s="1552"/>
      <c r="DM732" s="1552"/>
      <c r="DN732" s="1552"/>
      <c r="DO732" s="1552">
        <f t="shared" si="26"/>
        <v>0</v>
      </c>
      <c r="DP732" s="1552"/>
      <c r="DQ732" s="1552"/>
      <c r="DR732" s="1552"/>
      <c r="DS732" s="1552"/>
      <c r="DT732" s="6"/>
      <c r="DU732" s="1553">
        <f t="shared" si="27"/>
        <v>0</v>
      </c>
      <c r="DV732" s="1553"/>
      <c r="DW732" s="1553"/>
      <c r="DX732" s="1553"/>
      <c r="DY732" s="1553"/>
      <c r="DZ732" s="1553">
        <f t="shared" si="28"/>
        <v>0</v>
      </c>
      <c r="EA732" s="1553"/>
      <c r="EB732" s="1553"/>
      <c r="EC732" s="1553"/>
      <c r="ED732" s="1553"/>
      <c r="EE732" s="1553">
        <f t="shared" si="29"/>
        <v>0</v>
      </c>
      <c r="EF732" s="1553"/>
      <c r="EG732" s="1553"/>
      <c r="EH732" s="1553"/>
      <c r="EI732" s="1553"/>
      <c r="EJ732" s="1553">
        <f t="shared" si="30"/>
        <v>0</v>
      </c>
      <c r="EK732" s="1553"/>
      <c r="EL732" s="1553"/>
      <c r="EM732" s="1553"/>
      <c r="EN732" s="1553"/>
      <c r="EO732" s="1553">
        <f t="shared" si="31"/>
        <v>0</v>
      </c>
      <c r="EP732" s="1553"/>
      <c r="EQ732" s="1553"/>
      <c r="ER732" s="1553"/>
      <c r="ES732" s="1553"/>
      <c r="ET732" s="1553">
        <f t="shared" si="32"/>
        <v>0</v>
      </c>
      <c r="EU732" s="1553"/>
      <c r="EV732" s="1553"/>
      <c r="EW732" s="1553"/>
      <c r="EX732" s="1553"/>
      <c r="EZ732" s="1559" t="str">
        <f t="shared" si="33"/>
        <v/>
      </c>
      <c r="FA732" s="1560"/>
      <c r="FB732" s="1560"/>
      <c r="FC732" s="1560"/>
      <c r="FD732" s="1561"/>
      <c r="FE732" s="1559" t="str">
        <f t="shared" si="34"/>
        <v/>
      </c>
      <c r="FF732" s="1560"/>
      <c r="FG732" s="1560"/>
      <c r="FH732" s="1560"/>
      <c r="FI732" s="1561"/>
      <c r="FJ732" s="1559" t="str">
        <f t="shared" si="35"/>
        <v/>
      </c>
      <c r="FK732" s="1560"/>
      <c r="FL732" s="1560"/>
      <c r="FM732" s="1560"/>
      <c r="FN732" s="1561"/>
      <c r="FO732" s="1559" t="str">
        <f t="shared" si="36"/>
        <v/>
      </c>
      <c r="FP732" s="1560"/>
      <c r="FQ732" s="1560"/>
      <c r="FR732" s="1560"/>
      <c r="FS732" s="1561"/>
      <c r="FT732" s="1559" t="str">
        <f t="shared" si="37"/>
        <v/>
      </c>
      <c r="FU732" s="1560"/>
      <c r="FV732" s="1560"/>
      <c r="FW732" s="1560"/>
      <c r="FX732" s="1561"/>
      <c r="FY732" s="1559" t="str">
        <f t="shared" si="38"/>
        <v/>
      </c>
      <c r="FZ732" s="1560"/>
      <c r="GA732" s="1560"/>
      <c r="GB732" s="1560"/>
      <c r="GC732" s="1561"/>
    </row>
    <row r="733" spans="1:185" ht="12.9" customHeight="1">
      <c r="B733" s="1368"/>
      <c r="C733" s="1369"/>
      <c r="D733" s="1369"/>
      <c r="E733" s="1369"/>
      <c r="F733" s="1370"/>
      <c r="G733" s="1362"/>
      <c r="H733" s="1363"/>
      <c r="I733" s="1363"/>
      <c r="J733" s="1364"/>
      <c r="K733" s="1365"/>
      <c r="L733" s="1366"/>
      <c r="M733" s="1366"/>
      <c r="N733" s="1367"/>
      <c r="O733" s="1404"/>
      <c r="P733" s="1405"/>
      <c r="Q733" s="1405"/>
      <c r="R733" s="1405"/>
      <c r="S733" s="1406"/>
      <c r="T733" s="1404"/>
      <c r="U733" s="1405"/>
      <c r="V733" s="1405"/>
      <c r="W733" s="1406"/>
      <c r="X733" s="1407">
        <f t="shared" si="11"/>
        <v>0</v>
      </c>
      <c r="Y733" s="1403"/>
      <c r="Z733" s="1403"/>
      <c r="AA733" s="1403"/>
      <c r="AB733" s="1408"/>
      <c r="AC733" s="1409"/>
      <c r="AD733" s="1410"/>
      <c r="AE733" s="1410"/>
      <c r="AF733" s="1410"/>
      <c r="AG733" s="1411"/>
      <c r="AH733" s="1463" t="str">
        <f t="shared" si="39"/>
        <v/>
      </c>
      <c r="AI733" s="1464"/>
      <c r="AJ733" s="1465"/>
      <c r="AK733" s="1368" t="s">
        <v>591</v>
      </c>
      <c r="AL733" s="1369"/>
      <c r="AM733" s="1369"/>
      <c r="AN733" s="1369"/>
      <c r="AO733" s="1370"/>
      <c r="AP733" s="3"/>
      <c r="AQ733" s="3"/>
      <c r="AR733" s="3"/>
      <c r="AS733" s="3"/>
      <c r="AY733" s="1080"/>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292"/>
      <c r="BW733" s="3"/>
      <c r="BX733" s="3"/>
      <c r="BY733" s="3"/>
      <c r="BZ733" s="3"/>
      <c r="CA733" s="3"/>
      <c r="CB733" s="3"/>
      <c r="CC733" s="3"/>
      <c r="CE733" s="3"/>
      <c r="CF733" s="3"/>
      <c r="CG733" s="1559">
        <f t="shared" si="40"/>
        <v>0</v>
      </c>
      <c r="CH733" s="1561"/>
      <c r="CI733" s="1693">
        <f t="shared" si="41"/>
        <v>0</v>
      </c>
      <c r="CJ733" s="1694"/>
      <c r="CK733" s="1559">
        <f t="shared" si="19"/>
        <v>0</v>
      </c>
      <c r="CL733" s="1561"/>
      <c r="CM733" s="1693">
        <f t="shared" si="20"/>
        <v>0</v>
      </c>
      <c r="CN733" s="1694"/>
      <c r="CO733" s="3"/>
      <c r="CP733" s="1555">
        <f t="shared" si="21"/>
        <v>0</v>
      </c>
      <c r="CQ733" s="1556"/>
      <c r="CR733" s="1556"/>
      <c r="CS733" s="1556"/>
      <c r="CT733" s="1557"/>
      <c r="CU733" s="1552">
        <f t="shared" si="22"/>
        <v>0</v>
      </c>
      <c r="CV733" s="1552"/>
      <c r="CW733" s="1552"/>
      <c r="CX733" s="1552"/>
      <c r="CY733" s="1552"/>
      <c r="CZ733" s="1552">
        <f t="shared" si="23"/>
        <v>0</v>
      </c>
      <c r="DA733" s="1552"/>
      <c r="DB733" s="1552"/>
      <c r="DC733" s="1552"/>
      <c r="DD733" s="1552"/>
      <c r="DE733" s="1552">
        <f t="shared" si="24"/>
        <v>0</v>
      </c>
      <c r="DF733" s="1552"/>
      <c r="DG733" s="1552"/>
      <c r="DH733" s="1552"/>
      <c r="DI733" s="1552"/>
      <c r="DJ733" s="1552">
        <f t="shared" si="25"/>
        <v>0</v>
      </c>
      <c r="DK733" s="1552"/>
      <c r="DL733" s="1552"/>
      <c r="DM733" s="1552"/>
      <c r="DN733" s="1552"/>
      <c r="DO733" s="1552">
        <f t="shared" si="26"/>
        <v>0</v>
      </c>
      <c r="DP733" s="1552"/>
      <c r="DQ733" s="1552"/>
      <c r="DR733" s="1552"/>
      <c r="DS733" s="1552"/>
      <c r="DT733" s="6"/>
      <c r="DU733" s="1553">
        <f t="shared" si="27"/>
        <v>0</v>
      </c>
      <c r="DV733" s="1553"/>
      <c r="DW733" s="1553"/>
      <c r="DX733" s="1553"/>
      <c r="DY733" s="1553"/>
      <c r="DZ733" s="1553">
        <f t="shared" si="28"/>
        <v>0</v>
      </c>
      <c r="EA733" s="1553"/>
      <c r="EB733" s="1553"/>
      <c r="EC733" s="1553"/>
      <c r="ED733" s="1553"/>
      <c r="EE733" s="1553">
        <f t="shared" si="29"/>
        <v>0</v>
      </c>
      <c r="EF733" s="1553"/>
      <c r="EG733" s="1553"/>
      <c r="EH733" s="1553"/>
      <c r="EI733" s="1553"/>
      <c r="EJ733" s="1553">
        <f t="shared" si="30"/>
        <v>0</v>
      </c>
      <c r="EK733" s="1553"/>
      <c r="EL733" s="1553"/>
      <c r="EM733" s="1553"/>
      <c r="EN733" s="1553"/>
      <c r="EO733" s="1553">
        <f t="shared" si="31"/>
        <v>0</v>
      </c>
      <c r="EP733" s="1553"/>
      <c r="EQ733" s="1553"/>
      <c r="ER733" s="1553"/>
      <c r="ES733" s="1553"/>
      <c r="ET733" s="1553">
        <f t="shared" si="32"/>
        <v>0</v>
      </c>
      <c r="EU733" s="1553"/>
      <c r="EV733" s="1553"/>
      <c r="EW733" s="1553"/>
      <c r="EX733" s="1553"/>
      <c r="EZ733" s="1559" t="str">
        <f t="shared" si="33"/>
        <v/>
      </c>
      <c r="FA733" s="1560"/>
      <c r="FB733" s="1560"/>
      <c r="FC733" s="1560"/>
      <c r="FD733" s="1561"/>
      <c r="FE733" s="1559" t="str">
        <f t="shared" si="34"/>
        <v/>
      </c>
      <c r="FF733" s="1560"/>
      <c r="FG733" s="1560"/>
      <c r="FH733" s="1560"/>
      <c r="FI733" s="1561"/>
      <c r="FJ733" s="1559" t="str">
        <f t="shared" si="35"/>
        <v/>
      </c>
      <c r="FK733" s="1560"/>
      <c r="FL733" s="1560"/>
      <c r="FM733" s="1560"/>
      <c r="FN733" s="1561"/>
      <c r="FO733" s="1559" t="str">
        <f t="shared" si="36"/>
        <v/>
      </c>
      <c r="FP733" s="1560"/>
      <c r="FQ733" s="1560"/>
      <c r="FR733" s="1560"/>
      <c r="FS733" s="1561"/>
      <c r="FT733" s="1559" t="str">
        <f t="shared" si="37"/>
        <v/>
      </c>
      <c r="FU733" s="1560"/>
      <c r="FV733" s="1560"/>
      <c r="FW733" s="1560"/>
      <c r="FX733" s="1561"/>
      <c r="FY733" s="1559" t="str">
        <f t="shared" si="38"/>
        <v/>
      </c>
      <c r="FZ733" s="1560"/>
      <c r="GA733" s="1560"/>
      <c r="GB733" s="1560"/>
      <c r="GC733" s="1561"/>
    </row>
    <row r="734" spans="1:185" ht="12.9" customHeight="1">
      <c r="B734" s="1368"/>
      <c r="C734" s="1369"/>
      <c r="D734" s="1369"/>
      <c r="E734" s="1369"/>
      <c r="F734" s="1370"/>
      <c r="G734" s="1362"/>
      <c r="H734" s="1363"/>
      <c r="I734" s="1363"/>
      <c r="J734" s="1364"/>
      <c r="K734" s="1365"/>
      <c r="L734" s="1366"/>
      <c r="M734" s="1366"/>
      <c r="N734" s="1367"/>
      <c r="O734" s="1404"/>
      <c r="P734" s="1405"/>
      <c r="Q734" s="1405"/>
      <c r="R734" s="1405"/>
      <c r="S734" s="1406"/>
      <c r="T734" s="1404"/>
      <c r="U734" s="1405"/>
      <c r="V734" s="1405"/>
      <c r="W734" s="1406"/>
      <c r="X734" s="1407">
        <f t="shared" si="11"/>
        <v>0</v>
      </c>
      <c r="Y734" s="1403"/>
      <c r="Z734" s="1403"/>
      <c r="AA734" s="1403"/>
      <c r="AB734" s="1408"/>
      <c r="AC734" s="1409"/>
      <c r="AD734" s="1410"/>
      <c r="AE734" s="1410"/>
      <c r="AF734" s="1410"/>
      <c r="AG734" s="1411"/>
      <c r="AH734" s="1463" t="str">
        <f t="shared" si="39"/>
        <v/>
      </c>
      <c r="AI734" s="1464"/>
      <c r="AJ734" s="1465"/>
      <c r="AK734" s="1368" t="s">
        <v>591</v>
      </c>
      <c r="AL734" s="1369"/>
      <c r="AM734" s="1369"/>
      <c r="AN734" s="1369"/>
      <c r="AO734" s="1370"/>
      <c r="AP734" s="3"/>
      <c r="AQ734" s="3"/>
      <c r="AR734" s="3"/>
      <c r="AS734" s="3"/>
      <c r="AY734" s="1080"/>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559">
        <f t="shared" si="40"/>
        <v>0</v>
      </c>
      <c r="CH734" s="1561"/>
      <c r="CI734" s="1693">
        <f t="shared" si="41"/>
        <v>0</v>
      </c>
      <c r="CJ734" s="1694"/>
      <c r="CK734" s="1559">
        <f t="shared" si="19"/>
        <v>0</v>
      </c>
      <c r="CL734" s="1561"/>
      <c r="CM734" s="1693">
        <f t="shared" si="20"/>
        <v>0</v>
      </c>
      <c r="CN734" s="1694"/>
      <c r="CO734" s="3"/>
      <c r="CP734" s="1555">
        <f t="shared" si="21"/>
        <v>0</v>
      </c>
      <c r="CQ734" s="1556"/>
      <c r="CR734" s="1556"/>
      <c r="CS734" s="1556"/>
      <c r="CT734" s="1557"/>
      <c r="CU734" s="1552">
        <f t="shared" si="22"/>
        <v>0</v>
      </c>
      <c r="CV734" s="1552"/>
      <c r="CW734" s="1552"/>
      <c r="CX734" s="1552"/>
      <c r="CY734" s="1552"/>
      <c r="CZ734" s="1552">
        <f t="shared" si="23"/>
        <v>0</v>
      </c>
      <c r="DA734" s="1552"/>
      <c r="DB734" s="1552"/>
      <c r="DC734" s="1552"/>
      <c r="DD734" s="1552"/>
      <c r="DE734" s="1552">
        <f t="shared" si="24"/>
        <v>0</v>
      </c>
      <c r="DF734" s="1552"/>
      <c r="DG734" s="1552"/>
      <c r="DH734" s="1552"/>
      <c r="DI734" s="1552"/>
      <c r="DJ734" s="1552">
        <f t="shared" si="25"/>
        <v>0</v>
      </c>
      <c r="DK734" s="1552"/>
      <c r="DL734" s="1552"/>
      <c r="DM734" s="1552"/>
      <c r="DN734" s="1552"/>
      <c r="DO734" s="1552">
        <f t="shared" si="26"/>
        <v>0</v>
      </c>
      <c r="DP734" s="1552"/>
      <c r="DQ734" s="1552"/>
      <c r="DR734" s="1552"/>
      <c r="DS734" s="1552"/>
      <c r="DT734" s="6"/>
      <c r="DU734" s="1553">
        <f t="shared" si="27"/>
        <v>0</v>
      </c>
      <c r="DV734" s="1553"/>
      <c r="DW734" s="1553"/>
      <c r="DX734" s="1553"/>
      <c r="DY734" s="1553"/>
      <c r="DZ734" s="1553">
        <f t="shared" si="28"/>
        <v>0</v>
      </c>
      <c r="EA734" s="1553"/>
      <c r="EB734" s="1553"/>
      <c r="EC734" s="1553"/>
      <c r="ED734" s="1553"/>
      <c r="EE734" s="1553">
        <f t="shared" si="29"/>
        <v>0</v>
      </c>
      <c r="EF734" s="1553"/>
      <c r="EG734" s="1553"/>
      <c r="EH734" s="1553"/>
      <c r="EI734" s="1553"/>
      <c r="EJ734" s="1553">
        <f t="shared" si="30"/>
        <v>0</v>
      </c>
      <c r="EK734" s="1553"/>
      <c r="EL734" s="1553"/>
      <c r="EM734" s="1553"/>
      <c r="EN734" s="1553"/>
      <c r="EO734" s="1553">
        <f t="shared" si="31"/>
        <v>0</v>
      </c>
      <c r="EP734" s="1553"/>
      <c r="EQ734" s="1553"/>
      <c r="ER734" s="1553"/>
      <c r="ES734" s="1553"/>
      <c r="ET734" s="1553">
        <f t="shared" si="32"/>
        <v>0</v>
      </c>
      <c r="EU734" s="1553"/>
      <c r="EV734" s="1553"/>
      <c r="EW734" s="1553"/>
      <c r="EX734" s="1553"/>
      <c r="EY734" s="4"/>
      <c r="EZ734" s="1559" t="str">
        <f t="shared" si="33"/>
        <v/>
      </c>
      <c r="FA734" s="1560"/>
      <c r="FB734" s="1560"/>
      <c r="FC734" s="1560"/>
      <c r="FD734" s="1561"/>
      <c r="FE734" s="1559" t="str">
        <f t="shared" si="34"/>
        <v/>
      </c>
      <c r="FF734" s="1560"/>
      <c r="FG734" s="1560"/>
      <c r="FH734" s="1560"/>
      <c r="FI734" s="1561"/>
      <c r="FJ734" s="1559" t="str">
        <f t="shared" si="35"/>
        <v/>
      </c>
      <c r="FK734" s="1560"/>
      <c r="FL734" s="1560"/>
      <c r="FM734" s="1560"/>
      <c r="FN734" s="1561"/>
      <c r="FO734" s="1559" t="str">
        <f t="shared" si="36"/>
        <v/>
      </c>
      <c r="FP734" s="1560"/>
      <c r="FQ734" s="1560"/>
      <c r="FR734" s="1560"/>
      <c r="FS734" s="1561"/>
      <c r="FT734" s="1559" t="str">
        <f t="shared" si="37"/>
        <v/>
      </c>
      <c r="FU734" s="1560"/>
      <c r="FV734" s="1560"/>
      <c r="FW734" s="1560"/>
      <c r="FX734" s="1561"/>
      <c r="FY734" s="1559" t="str">
        <f t="shared" si="38"/>
        <v/>
      </c>
      <c r="FZ734" s="1560"/>
      <c r="GA734" s="1560"/>
      <c r="GB734" s="1560"/>
      <c r="GC734" s="1561"/>
    </row>
    <row r="735" spans="1:185" ht="12.9" customHeight="1">
      <c r="A735" s="4"/>
      <c r="B735" s="1368"/>
      <c r="C735" s="1369"/>
      <c r="D735" s="1369"/>
      <c r="E735" s="1369"/>
      <c r="F735" s="1370"/>
      <c r="G735" s="1362"/>
      <c r="H735" s="1363"/>
      <c r="I735" s="1363"/>
      <c r="J735" s="1364"/>
      <c r="K735" s="1365"/>
      <c r="L735" s="1366"/>
      <c r="M735" s="1366"/>
      <c r="N735" s="1367"/>
      <c r="O735" s="1404"/>
      <c r="P735" s="1405"/>
      <c r="Q735" s="1405"/>
      <c r="R735" s="1405"/>
      <c r="S735" s="1406"/>
      <c r="T735" s="1404"/>
      <c r="U735" s="1405"/>
      <c r="V735" s="1405"/>
      <c r="W735" s="1406"/>
      <c r="X735" s="1407">
        <f t="shared" si="11"/>
        <v>0</v>
      </c>
      <c r="Y735" s="1403"/>
      <c r="Z735" s="1403"/>
      <c r="AA735" s="1403"/>
      <c r="AB735" s="1408"/>
      <c r="AC735" s="1409"/>
      <c r="AD735" s="1410"/>
      <c r="AE735" s="1410"/>
      <c r="AF735" s="1410"/>
      <c r="AG735" s="1411"/>
      <c r="AH735" s="1463" t="str">
        <f t="shared" si="39"/>
        <v/>
      </c>
      <c r="AI735" s="1464"/>
      <c r="AJ735" s="1465"/>
      <c r="AK735" s="1368" t="s">
        <v>591</v>
      </c>
      <c r="AL735" s="1369"/>
      <c r="AM735" s="1369"/>
      <c r="AN735" s="1369"/>
      <c r="AO735" s="1370"/>
      <c r="AP735" s="3"/>
      <c r="AQ735" s="3"/>
      <c r="AR735" s="3"/>
      <c r="AS735" s="3"/>
      <c r="AY735" s="1080"/>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559">
        <f t="shared" si="40"/>
        <v>0</v>
      </c>
      <c r="CH735" s="1561"/>
      <c r="CI735" s="1693">
        <f t="shared" si="41"/>
        <v>0</v>
      </c>
      <c r="CJ735" s="1694"/>
      <c r="CK735" s="1559">
        <f t="shared" si="19"/>
        <v>0</v>
      </c>
      <c r="CL735" s="1561"/>
      <c r="CM735" s="1693">
        <f t="shared" si="20"/>
        <v>0</v>
      </c>
      <c r="CN735" s="1694"/>
      <c r="CO735" s="3"/>
      <c r="CP735" s="1555">
        <f t="shared" si="21"/>
        <v>0</v>
      </c>
      <c r="CQ735" s="1556"/>
      <c r="CR735" s="1556"/>
      <c r="CS735" s="1556"/>
      <c r="CT735" s="1557"/>
      <c r="CU735" s="1552">
        <f t="shared" si="22"/>
        <v>0</v>
      </c>
      <c r="CV735" s="1552"/>
      <c r="CW735" s="1552"/>
      <c r="CX735" s="1552"/>
      <c r="CY735" s="1552"/>
      <c r="CZ735" s="1552">
        <f t="shared" si="23"/>
        <v>0</v>
      </c>
      <c r="DA735" s="1552"/>
      <c r="DB735" s="1552"/>
      <c r="DC735" s="1552"/>
      <c r="DD735" s="1552"/>
      <c r="DE735" s="1552">
        <f t="shared" si="24"/>
        <v>0</v>
      </c>
      <c r="DF735" s="1552"/>
      <c r="DG735" s="1552"/>
      <c r="DH735" s="1552"/>
      <c r="DI735" s="1552"/>
      <c r="DJ735" s="1552">
        <f t="shared" si="25"/>
        <v>0</v>
      </c>
      <c r="DK735" s="1552"/>
      <c r="DL735" s="1552"/>
      <c r="DM735" s="1552"/>
      <c r="DN735" s="1552"/>
      <c r="DO735" s="1552">
        <f t="shared" si="26"/>
        <v>0</v>
      </c>
      <c r="DP735" s="1552"/>
      <c r="DQ735" s="1552"/>
      <c r="DR735" s="1552"/>
      <c r="DS735" s="1552"/>
      <c r="DT735" s="6"/>
      <c r="DU735" s="1553">
        <f t="shared" si="27"/>
        <v>0</v>
      </c>
      <c r="DV735" s="1553"/>
      <c r="DW735" s="1553"/>
      <c r="DX735" s="1553"/>
      <c r="DY735" s="1553"/>
      <c r="DZ735" s="1553">
        <f t="shared" si="28"/>
        <v>0</v>
      </c>
      <c r="EA735" s="1553"/>
      <c r="EB735" s="1553"/>
      <c r="EC735" s="1553"/>
      <c r="ED735" s="1553"/>
      <c r="EE735" s="1553">
        <f t="shared" si="29"/>
        <v>0</v>
      </c>
      <c r="EF735" s="1553"/>
      <c r="EG735" s="1553"/>
      <c r="EH735" s="1553"/>
      <c r="EI735" s="1553"/>
      <c r="EJ735" s="1553">
        <f t="shared" si="30"/>
        <v>0</v>
      </c>
      <c r="EK735" s="1553"/>
      <c r="EL735" s="1553"/>
      <c r="EM735" s="1553"/>
      <c r="EN735" s="1553"/>
      <c r="EO735" s="1553">
        <f t="shared" si="31"/>
        <v>0</v>
      </c>
      <c r="EP735" s="1553"/>
      <c r="EQ735" s="1553"/>
      <c r="ER735" s="1553"/>
      <c r="ES735" s="1553"/>
      <c r="ET735" s="1553">
        <f t="shared" si="32"/>
        <v>0</v>
      </c>
      <c r="EU735" s="1553"/>
      <c r="EV735" s="1553"/>
      <c r="EW735" s="1553"/>
      <c r="EX735" s="1553"/>
      <c r="EY735" s="4"/>
      <c r="EZ735" s="1559" t="str">
        <f t="shared" si="33"/>
        <v/>
      </c>
      <c r="FA735" s="1560"/>
      <c r="FB735" s="1560"/>
      <c r="FC735" s="1560"/>
      <c r="FD735" s="1561"/>
      <c r="FE735" s="1559" t="str">
        <f t="shared" si="34"/>
        <v/>
      </c>
      <c r="FF735" s="1560"/>
      <c r="FG735" s="1560"/>
      <c r="FH735" s="1560"/>
      <c r="FI735" s="1561"/>
      <c r="FJ735" s="1559" t="str">
        <f t="shared" si="35"/>
        <v/>
      </c>
      <c r="FK735" s="1560"/>
      <c r="FL735" s="1560"/>
      <c r="FM735" s="1560"/>
      <c r="FN735" s="1561"/>
      <c r="FO735" s="1559" t="str">
        <f t="shared" si="36"/>
        <v/>
      </c>
      <c r="FP735" s="1560"/>
      <c r="FQ735" s="1560"/>
      <c r="FR735" s="1560"/>
      <c r="FS735" s="1561"/>
      <c r="FT735" s="1559" t="str">
        <f t="shared" si="37"/>
        <v/>
      </c>
      <c r="FU735" s="1560"/>
      <c r="FV735" s="1560"/>
      <c r="FW735" s="1560"/>
      <c r="FX735" s="1561"/>
      <c r="FY735" s="1559" t="str">
        <f t="shared" si="38"/>
        <v/>
      </c>
      <c r="FZ735" s="1560"/>
      <c r="GA735" s="1560"/>
      <c r="GB735" s="1560"/>
      <c r="GC735" s="1561"/>
    </row>
    <row r="736" spans="1:185" ht="12.9" customHeight="1">
      <c r="A736" s="4"/>
      <c r="B736" s="1368"/>
      <c r="C736" s="1369"/>
      <c r="D736" s="1369"/>
      <c r="E736" s="1369"/>
      <c r="F736" s="1370"/>
      <c r="G736" s="1362"/>
      <c r="H736" s="1363"/>
      <c r="I736" s="1363"/>
      <c r="J736" s="1364"/>
      <c r="K736" s="1365"/>
      <c r="L736" s="1366"/>
      <c r="M736" s="1366"/>
      <c r="N736" s="1367"/>
      <c r="O736" s="1404"/>
      <c r="P736" s="1405"/>
      <c r="Q736" s="1405"/>
      <c r="R736" s="1405"/>
      <c r="S736" s="1406"/>
      <c r="T736" s="1404"/>
      <c r="U736" s="1405"/>
      <c r="V736" s="1405"/>
      <c r="W736" s="1406"/>
      <c r="X736" s="1407">
        <f t="shared" si="11"/>
        <v>0</v>
      </c>
      <c r="Y736" s="1403"/>
      <c r="Z736" s="1403"/>
      <c r="AA736" s="1403"/>
      <c r="AB736" s="1408"/>
      <c r="AC736" s="1409"/>
      <c r="AD736" s="1410"/>
      <c r="AE736" s="1410"/>
      <c r="AF736" s="1410"/>
      <c r="AG736" s="1411"/>
      <c r="AH736" s="1463" t="str">
        <f t="shared" si="39"/>
        <v/>
      </c>
      <c r="AI736" s="1464"/>
      <c r="AJ736" s="1465"/>
      <c r="AK736" s="1368" t="s">
        <v>591</v>
      </c>
      <c r="AL736" s="1369"/>
      <c r="AM736" s="1369"/>
      <c r="AN736" s="1369"/>
      <c r="AO736" s="1370"/>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559">
        <f t="shared" si="40"/>
        <v>0</v>
      </c>
      <c r="CH736" s="1561"/>
      <c r="CI736" s="1693">
        <f t="shared" si="41"/>
        <v>0</v>
      </c>
      <c r="CJ736" s="1694"/>
      <c r="CK736" s="1559">
        <f t="shared" si="19"/>
        <v>0</v>
      </c>
      <c r="CL736" s="1561"/>
      <c r="CM736" s="1693">
        <f t="shared" si="20"/>
        <v>0</v>
      </c>
      <c r="CN736" s="1694"/>
      <c r="CO736" s="3"/>
      <c r="CP736" s="1555">
        <f t="shared" si="21"/>
        <v>0</v>
      </c>
      <c r="CQ736" s="1556"/>
      <c r="CR736" s="1556"/>
      <c r="CS736" s="1556"/>
      <c r="CT736" s="1557"/>
      <c r="CU736" s="1552">
        <f t="shared" si="22"/>
        <v>0</v>
      </c>
      <c r="CV736" s="1552"/>
      <c r="CW736" s="1552"/>
      <c r="CX736" s="1552"/>
      <c r="CY736" s="1552"/>
      <c r="CZ736" s="1552">
        <f t="shared" si="23"/>
        <v>0</v>
      </c>
      <c r="DA736" s="1552"/>
      <c r="DB736" s="1552"/>
      <c r="DC736" s="1552"/>
      <c r="DD736" s="1552"/>
      <c r="DE736" s="1552">
        <f t="shared" si="24"/>
        <v>0</v>
      </c>
      <c r="DF736" s="1552"/>
      <c r="DG736" s="1552"/>
      <c r="DH736" s="1552"/>
      <c r="DI736" s="1552"/>
      <c r="DJ736" s="1552">
        <f t="shared" si="25"/>
        <v>0</v>
      </c>
      <c r="DK736" s="1552"/>
      <c r="DL736" s="1552"/>
      <c r="DM736" s="1552"/>
      <c r="DN736" s="1552"/>
      <c r="DO736" s="1552">
        <f t="shared" si="26"/>
        <v>0</v>
      </c>
      <c r="DP736" s="1552"/>
      <c r="DQ736" s="1552"/>
      <c r="DR736" s="1552"/>
      <c r="DS736" s="1552"/>
      <c r="DT736" s="6"/>
      <c r="DU736" s="1553">
        <f t="shared" si="27"/>
        <v>0</v>
      </c>
      <c r="DV736" s="1553"/>
      <c r="DW736" s="1553"/>
      <c r="DX736" s="1553"/>
      <c r="DY736" s="1553"/>
      <c r="DZ736" s="1553">
        <f t="shared" si="28"/>
        <v>0</v>
      </c>
      <c r="EA736" s="1553"/>
      <c r="EB736" s="1553"/>
      <c r="EC736" s="1553"/>
      <c r="ED736" s="1553"/>
      <c r="EE736" s="1553">
        <f t="shared" si="29"/>
        <v>0</v>
      </c>
      <c r="EF736" s="1553"/>
      <c r="EG736" s="1553"/>
      <c r="EH736" s="1553"/>
      <c r="EI736" s="1553"/>
      <c r="EJ736" s="1553">
        <f t="shared" si="30"/>
        <v>0</v>
      </c>
      <c r="EK736" s="1553"/>
      <c r="EL736" s="1553"/>
      <c r="EM736" s="1553"/>
      <c r="EN736" s="1553"/>
      <c r="EO736" s="1553">
        <f t="shared" si="31"/>
        <v>0</v>
      </c>
      <c r="EP736" s="1553"/>
      <c r="EQ736" s="1553"/>
      <c r="ER736" s="1553"/>
      <c r="ES736" s="1553"/>
      <c r="ET736" s="1553">
        <f t="shared" si="32"/>
        <v>0</v>
      </c>
      <c r="EU736" s="1553"/>
      <c r="EV736" s="1553"/>
      <c r="EW736" s="1553"/>
      <c r="EX736" s="1553"/>
      <c r="EY736" s="4"/>
      <c r="EZ736" s="1559" t="str">
        <f t="shared" si="33"/>
        <v/>
      </c>
      <c r="FA736" s="1560"/>
      <c r="FB736" s="1560"/>
      <c r="FC736" s="1560"/>
      <c r="FD736" s="1561"/>
      <c r="FE736" s="1559" t="str">
        <f t="shared" si="34"/>
        <v/>
      </c>
      <c r="FF736" s="1560"/>
      <c r="FG736" s="1560"/>
      <c r="FH736" s="1560"/>
      <c r="FI736" s="1561"/>
      <c r="FJ736" s="1559" t="str">
        <f t="shared" si="35"/>
        <v/>
      </c>
      <c r="FK736" s="1560"/>
      <c r="FL736" s="1560"/>
      <c r="FM736" s="1560"/>
      <c r="FN736" s="1561"/>
      <c r="FO736" s="1559" t="str">
        <f t="shared" si="36"/>
        <v/>
      </c>
      <c r="FP736" s="1560"/>
      <c r="FQ736" s="1560"/>
      <c r="FR736" s="1560"/>
      <c r="FS736" s="1561"/>
      <c r="FT736" s="1559" t="str">
        <f t="shared" si="37"/>
        <v/>
      </c>
      <c r="FU736" s="1560"/>
      <c r="FV736" s="1560"/>
      <c r="FW736" s="1560"/>
      <c r="FX736" s="1561"/>
      <c r="FY736" s="1559" t="str">
        <f t="shared" si="38"/>
        <v/>
      </c>
      <c r="FZ736" s="1560"/>
      <c r="GA736" s="1560"/>
      <c r="GB736" s="1560"/>
      <c r="GC736" s="1561"/>
    </row>
    <row r="737" spans="1:185" ht="12.9" customHeight="1">
      <c r="A737" s="4"/>
      <c r="B737" s="1368"/>
      <c r="C737" s="1369"/>
      <c r="D737" s="1369"/>
      <c r="E737" s="1369"/>
      <c r="F737" s="1370"/>
      <c r="G737" s="1362"/>
      <c r="H737" s="1363"/>
      <c r="I737" s="1363"/>
      <c r="J737" s="1364"/>
      <c r="K737" s="1365"/>
      <c r="L737" s="1366"/>
      <c r="M737" s="1366"/>
      <c r="N737" s="1367"/>
      <c r="O737" s="1404"/>
      <c r="P737" s="1405"/>
      <c r="Q737" s="1405"/>
      <c r="R737" s="1405"/>
      <c r="S737" s="1406"/>
      <c r="T737" s="1404"/>
      <c r="U737" s="1405"/>
      <c r="V737" s="1405"/>
      <c r="W737" s="1406"/>
      <c r="X737" s="1407">
        <f t="shared" si="11"/>
        <v>0</v>
      </c>
      <c r="Y737" s="1403"/>
      <c r="Z737" s="1403"/>
      <c r="AA737" s="1403"/>
      <c r="AB737" s="1408"/>
      <c r="AC737" s="1409"/>
      <c r="AD737" s="1410"/>
      <c r="AE737" s="1410"/>
      <c r="AF737" s="1410"/>
      <c r="AG737" s="1411"/>
      <c r="AH737" s="1463" t="str">
        <f t="shared" si="39"/>
        <v/>
      </c>
      <c r="AI737" s="1464"/>
      <c r="AJ737" s="1465"/>
      <c r="AK737" s="1368" t="s">
        <v>591</v>
      </c>
      <c r="AL737" s="1369"/>
      <c r="AM737" s="1369"/>
      <c r="AN737" s="1369"/>
      <c r="AO737" s="1370"/>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559">
        <f t="shared" si="40"/>
        <v>0</v>
      </c>
      <c r="CH737" s="1561"/>
      <c r="CI737" s="1693">
        <f t="shared" si="41"/>
        <v>0</v>
      </c>
      <c r="CJ737" s="1694"/>
      <c r="CK737" s="1559">
        <f t="shared" si="19"/>
        <v>0</v>
      </c>
      <c r="CL737" s="1561"/>
      <c r="CM737" s="1693">
        <f t="shared" si="20"/>
        <v>0</v>
      </c>
      <c r="CN737" s="1694"/>
      <c r="CO737" s="3"/>
      <c r="CP737" s="1555">
        <f t="shared" si="21"/>
        <v>0</v>
      </c>
      <c r="CQ737" s="1556"/>
      <c r="CR737" s="1556"/>
      <c r="CS737" s="1556"/>
      <c r="CT737" s="1557"/>
      <c r="CU737" s="1552">
        <f t="shared" si="22"/>
        <v>0</v>
      </c>
      <c r="CV737" s="1552"/>
      <c r="CW737" s="1552"/>
      <c r="CX737" s="1552"/>
      <c r="CY737" s="1552"/>
      <c r="CZ737" s="1552">
        <f t="shared" si="23"/>
        <v>0</v>
      </c>
      <c r="DA737" s="1552"/>
      <c r="DB737" s="1552"/>
      <c r="DC737" s="1552"/>
      <c r="DD737" s="1552"/>
      <c r="DE737" s="1552">
        <f t="shared" si="24"/>
        <v>0</v>
      </c>
      <c r="DF737" s="1552"/>
      <c r="DG737" s="1552"/>
      <c r="DH737" s="1552"/>
      <c r="DI737" s="1552"/>
      <c r="DJ737" s="1552">
        <f t="shared" si="25"/>
        <v>0</v>
      </c>
      <c r="DK737" s="1552"/>
      <c r="DL737" s="1552"/>
      <c r="DM737" s="1552"/>
      <c r="DN737" s="1552"/>
      <c r="DO737" s="1552">
        <f t="shared" si="26"/>
        <v>0</v>
      </c>
      <c r="DP737" s="1552"/>
      <c r="DQ737" s="1552"/>
      <c r="DR737" s="1552"/>
      <c r="DS737" s="1552"/>
      <c r="DT737" s="6"/>
      <c r="DU737" s="1553">
        <f t="shared" si="27"/>
        <v>0</v>
      </c>
      <c r="DV737" s="1553"/>
      <c r="DW737" s="1553"/>
      <c r="DX737" s="1553"/>
      <c r="DY737" s="1553"/>
      <c r="DZ737" s="1553">
        <f t="shared" si="28"/>
        <v>0</v>
      </c>
      <c r="EA737" s="1553"/>
      <c r="EB737" s="1553"/>
      <c r="EC737" s="1553"/>
      <c r="ED737" s="1553"/>
      <c r="EE737" s="1553">
        <f t="shared" si="29"/>
        <v>0</v>
      </c>
      <c r="EF737" s="1553"/>
      <c r="EG737" s="1553"/>
      <c r="EH737" s="1553"/>
      <c r="EI737" s="1553"/>
      <c r="EJ737" s="1553">
        <f t="shared" si="30"/>
        <v>0</v>
      </c>
      <c r="EK737" s="1553"/>
      <c r="EL737" s="1553"/>
      <c r="EM737" s="1553"/>
      <c r="EN737" s="1553"/>
      <c r="EO737" s="1553">
        <f t="shared" si="31"/>
        <v>0</v>
      </c>
      <c r="EP737" s="1553"/>
      <c r="EQ737" s="1553"/>
      <c r="ER737" s="1553"/>
      <c r="ES737" s="1553"/>
      <c r="ET737" s="1553">
        <f t="shared" si="32"/>
        <v>0</v>
      </c>
      <c r="EU737" s="1553"/>
      <c r="EV737" s="1553"/>
      <c r="EW737" s="1553"/>
      <c r="EX737" s="1553"/>
      <c r="EZ737" s="1559" t="str">
        <f t="shared" si="33"/>
        <v/>
      </c>
      <c r="FA737" s="1560"/>
      <c r="FB737" s="1560"/>
      <c r="FC737" s="1560"/>
      <c r="FD737" s="1561"/>
      <c r="FE737" s="1559" t="str">
        <f t="shared" si="34"/>
        <v/>
      </c>
      <c r="FF737" s="1560"/>
      <c r="FG737" s="1560"/>
      <c r="FH737" s="1560"/>
      <c r="FI737" s="1561"/>
      <c r="FJ737" s="1559" t="str">
        <f t="shared" si="35"/>
        <v/>
      </c>
      <c r="FK737" s="1560"/>
      <c r="FL737" s="1560"/>
      <c r="FM737" s="1560"/>
      <c r="FN737" s="1561"/>
      <c r="FO737" s="1559" t="str">
        <f t="shared" si="36"/>
        <v/>
      </c>
      <c r="FP737" s="1560"/>
      <c r="FQ737" s="1560"/>
      <c r="FR737" s="1560"/>
      <c r="FS737" s="1561"/>
      <c r="FT737" s="1559" t="str">
        <f t="shared" si="37"/>
        <v/>
      </c>
      <c r="FU737" s="1560"/>
      <c r="FV737" s="1560"/>
      <c r="FW737" s="1560"/>
      <c r="FX737" s="1561"/>
      <c r="FY737" s="1559" t="str">
        <f t="shared" si="38"/>
        <v/>
      </c>
      <c r="FZ737" s="1560"/>
      <c r="GA737" s="1560"/>
      <c r="GB737" s="1560"/>
      <c r="GC737" s="1561"/>
    </row>
    <row r="738" spans="1:185" ht="12.9" customHeight="1">
      <c r="B738" s="1368"/>
      <c r="C738" s="1369"/>
      <c r="D738" s="1369"/>
      <c r="E738" s="1369"/>
      <c r="F738" s="1370"/>
      <c r="G738" s="1362"/>
      <c r="H738" s="1363"/>
      <c r="I738" s="1363"/>
      <c r="J738" s="1364"/>
      <c r="K738" s="1365"/>
      <c r="L738" s="1366"/>
      <c r="M738" s="1366"/>
      <c r="N738" s="1367"/>
      <c r="O738" s="1404"/>
      <c r="P738" s="1405"/>
      <c r="Q738" s="1405"/>
      <c r="R738" s="1405"/>
      <c r="S738" s="1406"/>
      <c r="T738" s="1404"/>
      <c r="U738" s="1405"/>
      <c r="V738" s="1405"/>
      <c r="W738" s="1406"/>
      <c r="X738" s="1407">
        <f t="shared" si="11"/>
        <v>0</v>
      </c>
      <c r="Y738" s="1403"/>
      <c r="Z738" s="1403"/>
      <c r="AA738" s="1403"/>
      <c r="AB738" s="1408"/>
      <c r="AC738" s="1409"/>
      <c r="AD738" s="1410"/>
      <c r="AE738" s="1410"/>
      <c r="AF738" s="1410"/>
      <c r="AG738" s="1411"/>
      <c r="AH738" s="1463" t="str">
        <f t="shared" si="39"/>
        <v/>
      </c>
      <c r="AI738" s="1464"/>
      <c r="AJ738" s="1465"/>
      <c r="AK738" s="1368" t="s">
        <v>591</v>
      </c>
      <c r="AL738" s="1369"/>
      <c r="AM738" s="1369"/>
      <c r="AN738" s="1369"/>
      <c r="AO738" s="1370"/>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559">
        <f t="shared" si="40"/>
        <v>0</v>
      </c>
      <c r="CH738" s="1561"/>
      <c r="CI738" s="1693">
        <f t="shared" si="41"/>
        <v>0</v>
      </c>
      <c r="CJ738" s="1694"/>
      <c r="CK738" s="1559">
        <f t="shared" si="19"/>
        <v>0</v>
      </c>
      <c r="CL738" s="1561"/>
      <c r="CM738" s="1693">
        <f t="shared" si="20"/>
        <v>0</v>
      </c>
      <c r="CN738" s="1694"/>
      <c r="CO738" s="3"/>
      <c r="CP738" s="1555">
        <f t="shared" si="21"/>
        <v>0</v>
      </c>
      <c r="CQ738" s="1556"/>
      <c r="CR738" s="1556"/>
      <c r="CS738" s="1556"/>
      <c r="CT738" s="1557"/>
      <c r="CU738" s="1552">
        <f t="shared" si="22"/>
        <v>0</v>
      </c>
      <c r="CV738" s="1552"/>
      <c r="CW738" s="1552"/>
      <c r="CX738" s="1552"/>
      <c r="CY738" s="1552"/>
      <c r="CZ738" s="1552">
        <f t="shared" si="23"/>
        <v>0</v>
      </c>
      <c r="DA738" s="1552"/>
      <c r="DB738" s="1552"/>
      <c r="DC738" s="1552"/>
      <c r="DD738" s="1552"/>
      <c r="DE738" s="1552">
        <f t="shared" si="24"/>
        <v>0</v>
      </c>
      <c r="DF738" s="1552"/>
      <c r="DG738" s="1552"/>
      <c r="DH738" s="1552"/>
      <c r="DI738" s="1552"/>
      <c r="DJ738" s="1552">
        <f t="shared" si="25"/>
        <v>0</v>
      </c>
      <c r="DK738" s="1552"/>
      <c r="DL738" s="1552"/>
      <c r="DM738" s="1552"/>
      <c r="DN738" s="1552"/>
      <c r="DO738" s="1552">
        <f t="shared" si="26"/>
        <v>0</v>
      </c>
      <c r="DP738" s="1552"/>
      <c r="DQ738" s="1552"/>
      <c r="DR738" s="1552"/>
      <c r="DS738" s="1552"/>
      <c r="DT738" s="6"/>
      <c r="DU738" s="1553">
        <f t="shared" si="27"/>
        <v>0</v>
      </c>
      <c r="DV738" s="1553"/>
      <c r="DW738" s="1553"/>
      <c r="DX738" s="1553"/>
      <c r="DY738" s="1553"/>
      <c r="DZ738" s="1553">
        <f t="shared" si="28"/>
        <v>0</v>
      </c>
      <c r="EA738" s="1553"/>
      <c r="EB738" s="1553"/>
      <c r="EC738" s="1553"/>
      <c r="ED738" s="1553"/>
      <c r="EE738" s="1553">
        <f t="shared" si="29"/>
        <v>0</v>
      </c>
      <c r="EF738" s="1553"/>
      <c r="EG738" s="1553"/>
      <c r="EH738" s="1553"/>
      <c r="EI738" s="1553"/>
      <c r="EJ738" s="1553">
        <f t="shared" si="30"/>
        <v>0</v>
      </c>
      <c r="EK738" s="1553"/>
      <c r="EL738" s="1553"/>
      <c r="EM738" s="1553"/>
      <c r="EN738" s="1553"/>
      <c r="EO738" s="1553">
        <f t="shared" si="31"/>
        <v>0</v>
      </c>
      <c r="EP738" s="1553"/>
      <c r="EQ738" s="1553"/>
      <c r="ER738" s="1553"/>
      <c r="ES738" s="1553"/>
      <c r="ET738" s="1553">
        <f t="shared" si="32"/>
        <v>0</v>
      </c>
      <c r="EU738" s="1553"/>
      <c r="EV738" s="1553"/>
      <c r="EW738" s="1553"/>
      <c r="EX738" s="1553"/>
      <c r="EZ738" s="1559" t="str">
        <f t="shared" si="33"/>
        <v/>
      </c>
      <c r="FA738" s="1560"/>
      <c r="FB738" s="1560"/>
      <c r="FC738" s="1560"/>
      <c r="FD738" s="1561"/>
      <c r="FE738" s="1559" t="str">
        <f t="shared" si="34"/>
        <v/>
      </c>
      <c r="FF738" s="1560"/>
      <c r="FG738" s="1560"/>
      <c r="FH738" s="1560"/>
      <c r="FI738" s="1561"/>
      <c r="FJ738" s="1559" t="str">
        <f t="shared" si="35"/>
        <v/>
      </c>
      <c r="FK738" s="1560"/>
      <c r="FL738" s="1560"/>
      <c r="FM738" s="1560"/>
      <c r="FN738" s="1561"/>
      <c r="FO738" s="1559" t="str">
        <f t="shared" si="36"/>
        <v/>
      </c>
      <c r="FP738" s="1560"/>
      <c r="FQ738" s="1560"/>
      <c r="FR738" s="1560"/>
      <c r="FS738" s="1561"/>
      <c r="FT738" s="1559" t="str">
        <f t="shared" si="37"/>
        <v/>
      </c>
      <c r="FU738" s="1560"/>
      <c r="FV738" s="1560"/>
      <c r="FW738" s="1560"/>
      <c r="FX738" s="1561"/>
      <c r="FY738" s="1559" t="str">
        <f t="shared" si="38"/>
        <v/>
      </c>
      <c r="FZ738" s="1560"/>
      <c r="GA738" s="1560"/>
      <c r="GB738" s="1560"/>
      <c r="GC738" s="1561"/>
    </row>
    <row r="739" spans="1:185" ht="12.9" customHeight="1">
      <c r="B739" s="1368"/>
      <c r="C739" s="1369"/>
      <c r="D739" s="1369"/>
      <c r="E739" s="1369"/>
      <c r="F739" s="1370"/>
      <c r="G739" s="1362"/>
      <c r="H739" s="1363"/>
      <c r="I739" s="1363"/>
      <c r="J739" s="1364"/>
      <c r="K739" s="1365"/>
      <c r="L739" s="1366"/>
      <c r="M739" s="1366"/>
      <c r="N739" s="1367"/>
      <c r="O739" s="1404"/>
      <c r="P739" s="1405"/>
      <c r="Q739" s="1405"/>
      <c r="R739" s="1405"/>
      <c r="S739" s="1406"/>
      <c r="T739" s="1404"/>
      <c r="U739" s="1405"/>
      <c r="V739" s="1405"/>
      <c r="W739" s="1406"/>
      <c r="X739" s="1407">
        <f t="shared" si="11"/>
        <v>0</v>
      </c>
      <c r="Y739" s="1403"/>
      <c r="Z739" s="1403"/>
      <c r="AA739" s="1403"/>
      <c r="AB739" s="1408"/>
      <c r="AC739" s="1409"/>
      <c r="AD739" s="1410"/>
      <c r="AE739" s="1410"/>
      <c r="AF739" s="1410"/>
      <c r="AG739" s="1411"/>
      <c r="AH739" s="1463" t="str">
        <f t="shared" si="39"/>
        <v/>
      </c>
      <c r="AI739" s="1464"/>
      <c r="AJ739" s="1465"/>
      <c r="AK739" s="1368" t="s">
        <v>591</v>
      </c>
      <c r="AL739" s="1369"/>
      <c r="AM739" s="1369"/>
      <c r="AN739" s="1369"/>
      <c r="AO739" s="1370"/>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559">
        <f t="shared" si="40"/>
        <v>0</v>
      </c>
      <c r="CH739" s="1561"/>
      <c r="CI739" s="1693">
        <f t="shared" si="41"/>
        <v>0</v>
      </c>
      <c r="CJ739" s="1694"/>
      <c r="CK739" s="1559">
        <f t="shared" si="19"/>
        <v>0</v>
      </c>
      <c r="CL739" s="1561"/>
      <c r="CM739" s="1693">
        <f t="shared" si="20"/>
        <v>0</v>
      </c>
      <c r="CN739" s="1694"/>
      <c r="CO739" s="3"/>
      <c r="CP739" s="1555">
        <f t="shared" si="21"/>
        <v>0</v>
      </c>
      <c r="CQ739" s="1556"/>
      <c r="CR739" s="1556"/>
      <c r="CS739" s="1556"/>
      <c r="CT739" s="1557"/>
      <c r="CU739" s="1552">
        <f t="shared" si="22"/>
        <v>0</v>
      </c>
      <c r="CV739" s="1552"/>
      <c r="CW739" s="1552"/>
      <c r="CX739" s="1552"/>
      <c r="CY739" s="1552"/>
      <c r="CZ739" s="1552">
        <f t="shared" si="23"/>
        <v>0</v>
      </c>
      <c r="DA739" s="1552"/>
      <c r="DB739" s="1552"/>
      <c r="DC739" s="1552"/>
      <c r="DD739" s="1552"/>
      <c r="DE739" s="1552">
        <f t="shared" si="24"/>
        <v>0</v>
      </c>
      <c r="DF739" s="1552"/>
      <c r="DG739" s="1552"/>
      <c r="DH739" s="1552"/>
      <c r="DI739" s="1552"/>
      <c r="DJ739" s="1552">
        <f t="shared" si="25"/>
        <v>0</v>
      </c>
      <c r="DK739" s="1552"/>
      <c r="DL739" s="1552"/>
      <c r="DM739" s="1552"/>
      <c r="DN739" s="1552"/>
      <c r="DO739" s="1552">
        <f t="shared" si="26"/>
        <v>0</v>
      </c>
      <c r="DP739" s="1552"/>
      <c r="DQ739" s="1552"/>
      <c r="DR739" s="1552"/>
      <c r="DS739" s="1552"/>
      <c r="DT739" s="6"/>
      <c r="DU739" s="1553">
        <f t="shared" si="27"/>
        <v>0</v>
      </c>
      <c r="DV739" s="1553"/>
      <c r="DW739" s="1553"/>
      <c r="DX739" s="1553"/>
      <c r="DY739" s="1553"/>
      <c r="DZ739" s="1553">
        <f t="shared" si="28"/>
        <v>0</v>
      </c>
      <c r="EA739" s="1553"/>
      <c r="EB739" s="1553"/>
      <c r="EC739" s="1553"/>
      <c r="ED739" s="1553"/>
      <c r="EE739" s="1553">
        <f t="shared" si="29"/>
        <v>0</v>
      </c>
      <c r="EF739" s="1553"/>
      <c r="EG739" s="1553"/>
      <c r="EH739" s="1553"/>
      <c r="EI739" s="1553"/>
      <c r="EJ739" s="1553">
        <f t="shared" si="30"/>
        <v>0</v>
      </c>
      <c r="EK739" s="1553"/>
      <c r="EL739" s="1553"/>
      <c r="EM739" s="1553"/>
      <c r="EN739" s="1553"/>
      <c r="EO739" s="1553">
        <f t="shared" si="31"/>
        <v>0</v>
      </c>
      <c r="EP739" s="1553"/>
      <c r="EQ739" s="1553"/>
      <c r="ER739" s="1553"/>
      <c r="ES739" s="1553"/>
      <c r="ET739" s="1553">
        <f t="shared" si="32"/>
        <v>0</v>
      </c>
      <c r="EU739" s="1553"/>
      <c r="EV739" s="1553"/>
      <c r="EW739" s="1553"/>
      <c r="EX739" s="1553"/>
      <c r="EZ739" s="1559" t="str">
        <f t="shared" si="33"/>
        <v/>
      </c>
      <c r="FA739" s="1560"/>
      <c r="FB739" s="1560"/>
      <c r="FC739" s="1560"/>
      <c r="FD739" s="1561"/>
      <c r="FE739" s="1559" t="str">
        <f t="shared" si="34"/>
        <v/>
      </c>
      <c r="FF739" s="1560"/>
      <c r="FG739" s="1560"/>
      <c r="FH739" s="1560"/>
      <c r="FI739" s="1561"/>
      <c r="FJ739" s="1559" t="str">
        <f t="shared" si="35"/>
        <v/>
      </c>
      <c r="FK739" s="1560"/>
      <c r="FL739" s="1560"/>
      <c r="FM739" s="1560"/>
      <c r="FN739" s="1561"/>
      <c r="FO739" s="1559" t="str">
        <f t="shared" si="36"/>
        <v/>
      </c>
      <c r="FP739" s="1560"/>
      <c r="FQ739" s="1560"/>
      <c r="FR739" s="1560"/>
      <c r="FS739" s="1561"/>
      <c r="FT739" s="1559" t="str">
        <f t="shared" si="37"/>
        <v/>
      </c>
      <c r="FU739" s="1560"/>
      <c r="FV739" s="1560"/>
      <c r="FW739" s="1560"/>
      <c r="FX739" s="1561"/>
      <c r="FY739" s="1559" t="str">
        <f t="shared" si="38"/>
        <v/>
      </c>
      <c r="FZ739" s="1560"/>
      <c r="GA739" s="1560"/>
      <c r="GB739" s="1560"/>
      <c r="GC739" s="1561"/>
    </row>
    <row r="740" spans="1:185" ht="12.9" customHeight="1">
      <c r="B740" s="1368"/>
      <c r="C740" s="1369"/>
      <c r="D740" s="1369"/>
      <c r="E740" s="1369"/>
      <c r="F740" s="1370"/>
      <c r="G740" s="1362"/>
      <c r="H740" s="1363"/>
      <c r="I740" s="1363"/>
      <c r="J740" s="1364"/>
      <c r="K740" s="1365"/>
      <c r="L740" s="1366"/>
      <c r="M740" s="1366"/>
      <c r="N740" s="1367"/>
      <c r="O740" s="1404"/>
      <c r="P740" s="1405"/>
      <c r="Q740" s="1405"/>
      <c r="R740" s="1405"/>
      <c r="S740" s="1406"/>
      <c r="T740" s="1404"/>
      <c r="U740" s="1405"/>
      <c r="V740" s="1405"/>
      <c r="W740" s="1406"/>
      <c r="X740" s="1407">
        <f t="shared" si="11"/>
        <v>0</v>
      </c>
      <c r="Y740" s="1403"/>
      <c r="Z740" s="1403"/>
      <c r="AA740" s="1403"/>
      <c r="AB740" s="1408"/>
      <c r="AC740" s="1409"/>
      <c r="AD740" s="1410"/>
      <c r="AE740" s="1410"/>
      <c r="AF740" s="1410"/>
      <c r="AG740" s="1411"/>
      <c r="AH740" s="1463" t="str">
        <f t="shared" si="39"/>
        <v/>
      </c>
      <c r="AI740" s="1464"/>
      <c r="AJ740" s="1465"/>
      <c r="AK740" s="1368" t="s">
        <v>591</v>
      </c>
      <c r="AL740" s="1369"/>
      <c r="AM740" s="1369"/>
      <c r="AN740" s="1369"/>
      <c r="AO740" s="1370"/>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559">
        <f t="shared" si="40"/>
        <v>0</v>
      </c>
      <c r="CH740" s="1561"/>
      <c r="CI740" s="1693">
        <f t="shared" si="41"/>
        <v>0</v>
      </c>
      <c r="CJ740" s="1694"/>
      <c r="CK740" s="1559">
        <f t="shared" si="19"/>
        <v>0</v>
      </c>
      <c r="CL740" s="1561"/>
      <c r="CM740" s="1693">
        <f t="shared" si="20"/>
        <v>0</v>
      </c>
      <c r="CN740" s="1694"/>
      <c r="CO740" s="3"/>
      <c r="CP740" s="1555">
        <f t="shared" si="21"/>
        <v>0</v>
      </c>
      <c r="CQ740" s="1556"/>
      <c r="CR740" s="1556"/>
      <c r="CS740" s="1556"/>
      <c r="CT740" s="1557"/>
      <c r="CU740" s="1552">
        <f t="shared" si="22"/>
        <v>0</v>
      </c>
      <c r="CV740" s="1552"/>
      <c r="CW740" s="1552"/>
      <c r="CX740" s="1552"/>
      <c r="CY740" s="1552"/>
      <c r="CZ740" s="1552">
        <f t="shared" si="23"/>
        <v>0</v>
      </c>
      <c r="DA740" s="1552"/>
      <c r="DB740" s="1552"/>
      <c r="DC740" s="1552"/>
      <c r="DD740" s="1552"/>
      <c r="DE740" s="1552">
        <f t="shared" si="24"/>
        <v>0</v>
      </c>
      <c r="DF740" s="1552"/>
      <c r="DG740" s="1552"/>
      <c r="DH740" s="1552"/>
      <c r="DI740" s="1552"/>
      <c r="DJ740" s="1552">
        <f t="shared" si="25"/>
        <v>0</v>
      </c>
      <c r="DK740" s="1552"/>
      <c r="DL740" s="1552"/>
      <c r="DM740" s="1552"/>
      <c r="DN740" s="1552"/>
      <c r="DO740" s="1552">
        <f t="shared" si="26"/>
        <v>0</v>
      </c>
      <c r="DP740" s="1552"/>
      <c r="DQ740" s="1552"/>
      <c r="DR740" s="1552"/>
      <c r="DS740" s="1552"/>
      <c r="DT740" s="6"/>
      <c r="DU740" s="1553">
        <f t="shared" si="27"/>
        <v>0</v>
      </c>
      <c r="DV740" s="1553"/>
      <c r="DW740" s="1553"/>
      <c r="DX740" s="1553"/>
      <c r="DY740" s="1553"/>
      <c r="DZ740" s="1553">
        <f t="shared" si="28"/>
        <v>0</v>
      </c>
      <c r="EA740" s="1553"/>
      <c r="EB740" s="1553"/>
      <c r="EC740" s="1553"/>
      <c r="ED740" s="1553"/>
      <c r="EE740" s="1553">
        <f t="shared" si="29"/>
        <v>0</v>
      </c>
      <c r="EF740" s="1553"/>
      <c r="EG740" s="1553"/>
      <c r="EH740" s="1553"/>
      <c r="EI740" s="1553"/>
      <c r="EJ740" s="1553">
        <f t="shared" si="30"/>
        <v>0</v>
      </c>
      <c r="EK740" s="1553"/>
      <c r="EL740" s="1553"/>
      <c r="EM740" s="1553"/>
      <c r="EN740" s="1553"/>
      <c r="EO740" s="1553">
        <f t="shared" si="31"/>
        <v>0</v>
      </c>
      <c r="EP740" s="1553"/>
      <c r="EQ740" s="1553"/>
      <c r="ER740" s="1553"/>
      <c r="ES740" s="1553"/>
      <c r="ET740" s="1553">
        <f t="shared" si="32"/>
        <v>0</v>
      </c>
      <c r="EU740" s="1553"/>
      <c r="EV740" s="1553"/>
      <c r="EW740" s="1553"/>
      <c r="EX740" s="1553"/>
      <c r="EZ740" s="1559" t="str">
        <f t="shared" si="33"/>
        <v/>
      </c>
      <c r="FA740" s="1560"/>
      <c r="FB740" s="1560"/>
      <c r="FC740" s="1560"/>
      <c r="FD740" s="1561"/>
      <c r="FE740" s="1559" t="str">
        <f t="shared" si="34"/>
        <v/>
      </c>
      <c r="FF740" s="1560"/>
      <c r="FG740" s="1560"/>
      <c r="FH740" s="1560"/>
      <c r="FI740" s="1561"/>
      <c r="FJ740" s="1559" t="str">
        <f t="shared" si="35"/>
        <v/>
      </c>
      <c r="FK740" s="1560"/>
      <c r="FL740" s="1560"/>
      <c r="FM740" s="1560"/>
      <c r="FN740" s="1561"/>
      <c r="FO740" s="1559" t="str">
        <f t="shared" si="36"/>
        <v/>
      </c>
      <c r="FP740" s="1560"/>
      <c r="FQ740" s="1560"/>
      <c r="FR740" s="1560"/>
      <c r="FS740" s="1561"/>
      <c r="FT740" s="1559" t="str">
        <f t="shared" si="37"/>
        <v/>
      </c>
      <c r="FU740" s="1560"/>
      <c r="FV740" s="1560"/>
      <c r="FW740" s="1560"/>
      <c r="FX740" s="1561"/>
      <c r="FY740" s="1559" t="str">
        <f t="shared" si="38"/>
        <v/>
      </c>
      <c r="FZ740" s="1560"/>
      <c r="GA740" s="1560"/>
      <c r="GB740" s="1560"/>
      <c r="GC740" s="1561"/>
    </row>
    <row r="741" spans="1:185" ht="12.9" customHeight="1">
      <c r="B741" s="1368"/>
      <c r="C741" s="1369"/>
      <c r="D741" s="1369"/>
      <c r="E741" s="1369"/>
      <c r="F741" s="1370"/>
      <c r="G741" s="1362"/>
      <c r="H741" s="1363"/>
      <c r="I741" s="1363"/>
      <c r="J741" s="1364"/>
      <c r="K741" s="1365"/>
      <c r="L741" s="1366"/>
      <c r="M741" s="1366"/>
      <c r="N741" s="1367"/>
      <c r="O741" s="1404"/>
      <c r="P741" s="1405"/>
      <c r="Q741" s="1405"/>
      <c r="R741" s="1405"/>
      <c r="S741" s="1406"/>
      <c r="T741" s="1404"/>
      <c r="U741" s="1405"/>
      <c r="V741" s="1405"/>
      <c r="W741" s="1406"/>
      <c r="X741" s="1407">
        <f t="shared" si="11"/>
        <v>0</v>
      </c>
      <c r="Y741" s="1403"/>
      <c r="Z741" s="1403"/>
      <c r="AA741" s="1403"/>
      <c r="AB741" s="1408"/>
      <c r="AC741" s="1409"/>
      <c r="AD741" s="1410"/>
      <c r="AE741" s="1410"/>
      <c r="AF741" s="1410"/>
      <c r="AG741" s="1411"/>
      <c r="AH741" s="1463" t="str">
        <f t="shared" si="39"/>
        <v/>
      </c>
      <c r="AI741" s="1464"/>
      <c r="AJ741" s="1465"/>
      <c r="AK741" s="1368" t="s">
        <v>591</v>
      </c>
      <c r="AL741" s="1369"/>
      <c r="AM741" s="1369"/>
      <c r="AN741" s="1369"/>
      <c r="AO741" s="1370"/>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559">
        <f t="shared" si="40"/>
        <v>0</v>
      </c>
      <c r="CH741" s="1561"/>
      <c r="CI741" s="1693">
        <f t="shared" si="41"/>
        <v>0</v>
      </c>
      <c r="CJ741" s="1694"/>
      <c r="CK741" s="1559">
        <f t="shared" si="19"/>
        <v>0</v>
      </c>
      <c r="CL741" s="1561"/>
      <c r="CM741" s="1693">
        <f t="shared" si="20"/>
        <v>0</v>
      </c>
      <c r="CN741" s="1694"/>
      <c r="CO741" s="3"/>
      <c r="CP741" s="1555">
        <f t="shared" si="21"/>
        <v>0</v>
      </c>
      <c r="CQ741" s="1556"/>
      <c r="CR741" s="1556"/>
      <c r="CS741" s="1556"/>
      <c r="CT741" s="1557"/>
      <c r="CU741" s="1552">
        <f t="shared" si="22"/>
        <v>0</v>
      </c>
      <c r="CV741" s="1552"/>
      <c r="CW741" s="1552"/>
      <c r="CX741" s="1552"/>
      <c r="CY741" s="1552"/>
      <c r="CZ741" s="1552">
        <f t="shared" si="23"/>
        <v>0</v>
      </c>
      <c r="DA741" s="1552"/>
      <c r="DB741" s="1552"/>
      <c r="DC741" s="1552"/>
      <c r="DD741" s="1552"/>
      <c r="DE741" s="1552">
        <f t="shared" si="24"/>
        <v>0</v>
      </c>
      <c r="DF741" s="1552"/>
      <c r="DG741" s="1552"/>
      <c r="DH741" s="1552"/>
      <c r="DI741" s="1552"/>
      <c r="DJ741" s="1552">
        <f t="shared" si="25"/>
        <v>0</v>
      </c>
      <c r="DK741" s="1552"/>
      <c r="DL741" s="1552"/>
      <c r="DM741" s="1552"/>
      <c r="DN741" s="1552"/>
      <c r="DO741" s="1552">
        <f t="shared" si="26"/>
        <v>0</v>
      </c>
      <c r="DP741" s="1552"/>
      <c r="DQ741" s="1552"/>
      <c r="DR741" s="1552"/>
      <c r="DS741" s="1552"/>
      <c r="DT741" s="6"/>
      <c r="DU741" s="1553">
        <f t="shared" si="27"/>
        <v>0</v>
      </c>
      <c r="DV741" s="1553"/>
      <c r="DW741" s="1553"/>
      <c r="DX741" s="1553"/>
      <c r="DY741" s="1553"/>
      <c r="DZ741" s="1553">
        <f t="shared" si="28"/>
        <v>0</v>
      </c>
      <c r="EA741" s="1553"/>
      <c r="EB741" s="1553"/>
      <c r="EC741" s="1553"/>
      <c r="ED741" s="1553"/>
      <c r="EE741" s="1553">
        <f t="shared" si="29"/>
        <v>0</v>
      </c>
      <c r="EF741" s="1553"/>
      <c r="EG741" s="1553"/>
      <c r="EH741" s="1553"/>
      <c r="EI741" s="1553"/>
      <c r="EJ741" s="1553">
        <f t="shared" si="30"/>
        <v>0</v>
      </c>
      <c r="EK741" s="1553"/>
      <c r="EL741" s="1553"/>
      <c r="EM741" s="1553"/>
      <c r="EN741" s="1553"/>
      <c r="EO741" s="1553">
        <f t="shared" si="31"/>
        <v>0</v>
      </c>
      <c r="EP741" s="1553"/>
      <c r="EQ741" s="1553"/>
      <c r="ER741" s="1553"/>
      <c r="ES741" s="1553"/>
      <c r="ET741" s="1553">
        <f t="shared" si="32"/>
        <v>0</v>
      </c>
      <c r="EU741" s="1553"/>
      <c r="EV741" s="1553"/>
      <c r="EW741" s="1553"/>
      <c r="EX741" s="1553"/>
      <c r="EZ741" s="1559" t="str">
        <f t="shared" si="33"/>
        <v/>
      </c>
      <c r="FA741" s="1560"/>
      <c r="FB741" s="1560"/>
      <c r="FC741" s="1560"/>
      <c r="FD741" s="1561"/>
      <c r="FE741" s="1559" t="str">
        <f t="shared" si="34"/>
        <v/>
      </c>
      <c r="FF741" s="1560"/>
      <c r="FG741" s="1560"/>
      <c r="FH741" s="1560"/>
      <c r="FI741" s="1561"/>
      <c r="FJ741" s="1559" t="str">
        <f t="shared" si="35"/>
        <v/>
      </c>
      <c r="FK741" s="1560"/>
      <c r="FL741" s="1560"/>
      <c r="FM741" s="1560"/>
      <c r="FN741" s="1561"/>
      <c r="FO741" s="1559" t="str">
        <f t="shared" si="36"/>
        <v/>
      </c>
      <c r="FP741" s="1560"/>
      <c r="FQ741" s="1560"/>
      <c r="FR741" s="1560"/>
      <c r="FS741" s="1561"/>
      <c r="FT741" s="1559" t="str">
        <f t="shared" si="37"/>
        <v/>
      </c>
      <c r="FU741" s="1560"/>
      <c r="FV741" s="1560"/>
      <c r="FW741" s="1560"/>
      <c r="FX741" s="1561"/>
      <c r="FY741" s="1559" t="str">
        <f t="shared" si="38"/>
        <v/>
      </c>
      <c r="FZ741" s="1560"/>
      <c r="GA741" s="1560"/>
      <c r="GB741" s="1560"/>
      <c r="GC741" s="1561"/>
    </row>
    <row r="742" spans="1:185" ht="12.9" customHeight="1">
      <c r="B742" s="1368"/>
      <c r="C742" s="1369"/>
      <c r="D742" s="1369"/>
      <c r="E742" s="1369"/>
      <c r="F742" s="1370"/>
      <c r="G742" s="1362"/>
      <c r="H742" s="1363"/>
      <c r="I742" s="1363"/>
      <c r="J742" s="1364"/>
      <c r="K742" s="1365"/>
      <c r="L742" s="1366"/>
      <c r="M742" s="1366"/>
      <c r="N742" s="1367"/>
      <c r="O742" s="1404"/>
      <c r="P742" s="1405"/>
      <c r="Q742" s="1405"/>
      <c r="R742" s="1405"/>
      <c r="S742" s="1406"/>
      <c r="T742" s="1404"/>
      <c r="U742" s="1405"/>
      <c r="V742" s="1405"/>
      <c r="W742" s="1406"/>
      <c r="X742" s="1407">
        <f t="shared" si="11"/>
        <v>0</v>
      </c>
      <c r="Y742" s="1403"/>
      <c r="Z742" s="1403"/>
      <c r="AA742" s="1403"/>
      <c r="AB742" s="1408"/>
      <c r="AC742" s="1409"/>
      <c r="AD742" s="1410"/>
      <c r="AE742" s="1410"/>
      <c r="AF742" s="1410"/>
      <c r="AG742" s="1411"/>
      <c r="AH742" s="1463" t="str">
        <f t="shared" si="39"/>
        <v/>
      </c>
      <c r="AI742" s="1464"/>
      <c r="AJ742" s="1465"/>
      <c r="AK742" s="1368" t="s">
        <v>591</v>
      </c>
      <c r="AL742" s="1369"/>
      <c r="AM742" s="1369"/>
      <c r="AN742" s="1369"/>
      <c r="AO742" s="1370"/>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559">
        <f t="shared" si="40"/>
        <v>0</v>
      </c>
      <c r="CH742" s="1561"/>
      <c r="CI742" s="1693">
        <f t="shared" si="41"/>
        <v>0</v>
      </c>
      <c r="CJ742" s="1694"/>
      <c r="CK742" s="1559">
        <f t="shared" si="19"/>
        <v>0</v>
      </c>
      <c r="CL742" s="1561"/>
      <c r="CM742" s="1693">
        <f t="shared" si="20"/>
        <v>0</v>
      </c>
      <c r="CN742" s="1694"/>
      <c r="CO742" s="3"/>
      <c r="CP742" s="1555">
        <f t="shared" si="21"/>
        <v>0</v>
      </c>
      <c r="CQ742" s="1556"/>
      <c r="CR742" s="1556"/>
      <c r="CS742" s="1556"/>
      <c r="CT742" s="1557"/>
      <c r="CU742" s="1552">
        <f t="shared" si="22"/>
        <v>0</v>
      </c>
      <c r="CV742" s="1552"/>
      <c r="CW742" s="1552"/>
      <c r="CX742" s="1552"/>
      <c r="CY742" s="1552"/>
      <c r="CZ742" s="1552">
        <f t="shared" si="23"/>
        <v>0</v>
      </c>
      <c r="DA742" s="1552"/>
      <c r="DB742" s="1552"/>
      <c r="DC742" s="1552"/>
      <c r="DD742" s="1552"/>
      <c r="DE742" s="1552">
        <f t="shared" si="24"/>
        <v>0</v>
      </c>
      <c r="DF742" s="1552"/>
      <c r="DG742" s="1552"/>
      <c r="DH742" s="1552"/>
      <c r="DI742" s="1552"/>
      <c r="DJ742" s="1552">
        <f t="shared" si="25"/>
        <v>0</v>
      </c>
      <c r="DK742" s="1552"/>
      <c r="DL742" s="1552"/>
      <c r="DM742" s="1552"/>
      <c r="DN742" s="1552"/>
      <c r="DO742" s="1552">
        <f t="shared" si="26"/>
        <v>0</v>
      </c>
      <c r="DP742" s="1552"/>
      <c r="DQ742" s="1552"/>
      <c r="DR742" s="1552"/>
      <c r="DS742" s="1552"/>
      <c r="DT742" s="6"/>
      <c r="DU742" s="1553">
        <f t="shared" si="27"/>
        <v>0</v>
      </c>
      <c r="DV742" s="1553"/>
      <c r="DW742" s="1553"/>
      <c r="DX742" s="1553"/>
      <c r="DY742" s="1553"/>
      <c r="DZ742" s="1553">
        <f t="shared" si="28"/>
        <v>0</v>
      </c>
      <c r="EA742" s="1553"/>
      <c r="EB742" s="1553"/>
      <c r="EC742" s="1553"/>
      <c r="ED742" s="1553"/>
      <c r="EE742" s="1553">
        <f t="shared" si="29"/>
        <v>0</v>
      </c>
      <c r="EF742" s="1553"/>
      <c r="EG742" s="1553"/>
      <c r="EH742" s="1553"/>
      <c r="EI742" s="1553"/>
      <c r="EJ742" s="1553">
        <f t="shared" si="30"/>
        <v>0</v>
      </c>
      <c r="EK742" s="1553"/>
      <c r="EL742" s="1553"/>
      <c r="EM742" s="1553"/>
      <c r="EN742" s="1553"/>
      <c r="EO742" s="1553">
        <f t="shared" si="31"/>
        <v>0</v>
      </c>
      <c r="EP742" s="1553"/>
      <c r="EQ742" s="1553"/>
      <c r="ER742" s="1553"/>
      <c r="ES742" s="1553"/>
      <c r="ET742" s="1553">
        <f t="shared" si="32"/>
        <v>0</v>
      </c>
      <c r="EU742" s="1553"/>
      <c r="EV742" s="1553"/>
      <c r="EW742" s="1553"/>
      <c r="EX742" s="1553"/>
      <c r="EZ742" s="1559" t="str">
        <f t="shared" si="33"/>
        <v/>
      </c>
      <c r="FA742" s="1560"/>
      <c r="FB742" s="1560"/>
      <c r="FC742" s="1560"/>
      <c r="FD742" s="1561"/>
      <c r="FE742" s="1559" t="str">
        <f t="shared" si="34"/>
        <v/>
      </c>
      <c r="FF742" s="1560"/>
      <c r="FG742" s="1560"/>
      <c r="FH742" s="1560"/>
      <c r="FI742" s="1561"/>
      <c r="FJ742" s="1559" t="str">
        <f t="shared" si="35"/>
        <v/>
      </c>
      <c r="FK742" s="1560"/>
      <c r="FL742" s="1560"/>
      <c r="FM742" s="1560"/>
      <c r="FN742" s="1561"/>
      <c r="FO742" s="1559" t="str">
        <f t="shared" si="36"/>
        <v/>
      </c>
      <c r="FP742" s="1560"/>
      <c r="FQ742" s="1560"/>
      <c r="FR742" s="1560"/>
      <c r="FS742" s="1561"/>
      <c r="FT742" s="1559" t="str">
        <f t="shared" si="37"/>
        <v/>
      </c>
      <c r="FU742" s="1560"/>
      <c r="FV742" s="1560"/>
      <c r="FW742" s="1560"/>
      <c r="FX742" s="1561"/>
      <c r="FY742" s="1559" t="str">
        <f t="shared" si="38"/>
        <v/>
      </c>
      <c r="FZ742" s="1560"/>
      <c r="GA742" s="1560"/>
      <c r="GB742" s="1560"/>
      <c r="GC742" s="1561"/>
    </row>
    <row r="743" spans="1:185" ht="12.9" customHeight="1">
      <c r="B743" s="1368"/>
      <c r="C743" s="1369"/>
      <c r="D743" s="1369"/>
      <c r="E743" s="1369"/>
      <c r="F743" s="1370"/>
      <c r="G743" s="1362"/>
      <c r="H743" s="1363"/>
      <c r="I743" s="1363"/>
      <c r="J743" s="1364"/>
      <c r="K743" s="1365"/>
      <c r="L743" s="1366"/>
      <c r="M743" s="1366"/>
      <c r="N743" s="1367"/>
      <c r="O743" s="1404"/>
      <c r="P743" s="1405"/>
      <c r="Q743" s="1405"/>
      <c r="R743" s="1405"/>
      <c r="S743" s="1406"/>
      <c r="T743" s="1404"/>
      <c r="U743" s="1405"/>
      <c r="V743" s="1405"/>
      <c r="W743" s="1406"/>
      <c r="X743" s="1407">
        <f t="shared" si="11"/>
        <v>0</v>
      </c>
      <c r="Y743" s="1403"/>
      <c r="Z743" s="1403"/>
      <c r="AA743" s="1403"/>
      <c r="AB743" s="1408"/>
      <c r="AC743" s="1409"/>
      <c r="AD743" s="1410"/>
      <c r="AE743" s="1410"/>
      <c r="AF743" s="1410"/>
      <c r="AG743" s="1411"/>
      <c r="AH743" s="1463" t="str">
        <f t="shared" si="39"/>
        <v/>
      </c>
      <c r="AI743" s="1464"/>
      <c r="AJ743" s="1465"/>
      <c r="AK743" s="1368" t="s">
        <v>591</v>
      </c>
      <c r="AL743" s="1369"/>
      <c r="AM743" s="1369"/>
      <c r="AN743" s="1369"/>
      <c r="AO743" s="1370"/>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559">
        <f t="shared" si="40"/>
        <v>0</v>
      </c>
      <c r="CH743" s="1561"/>
      <c r="CI743" s="1693">
        <f t="shared" si="41"/>
        <v>0</v>
      </c>
      <c r="CJ743" s="1694"/>
      <c r="CK743" s="1559">
        <f t="shared" si="19"/>
        <v>0</v>
      </c>
      <c r="CL743" s="1561"/>
      <c r="CM743" s="1693">
        <f t="shared" si="20"/>
        <v>0</v>
      </c>
      <c r="CN743" s="1694"/>
      <c r="CO743" s="3"/>
      <c r="CP743" s="1555">
        <f t="shared" si="21"/>
        <v>0</v>
      </c>
      <c r="CQ743" s="1556"/>
      <c r="CR743" s="1556"/>
      <c r="CS743" s="1556"/>
      <c r="CT743" s="1557"/>
      <c r="CU743" s="1552">
        <f t="shared" si="22"/>
        <v>0</v>
      </c>
      <c r="CV743" s="1552"/>
      <c r="CW743" s="1552"/>
      <c r="CX743" s="1552"/>
      <c r="CY743" s="1552"/>
      <c r="CZ743" s="1552">
        <f t="shared" si="23"/>
        <v>0</v>
      </c>
      <c r="DA743" s="1552"/>
      <c r="DB743" s="1552"/>
      <c r="DC743" s="1552"/>
      <c r="DD743" s="1552"/>
      <c r="DE743" s="1552">
        <f t="shared" si="24"/>
        <v>0</v>
      </c>
      <c r="DF743" s="1552"/>
      <c r="DG743" s="1552"/>
      <c r="DH743" s="1552"/>
      <c r="DI743" s="1552"/>
      <c r="DJ743" s="1552">
        <f t="shared" si="25"/>
        <v>0</v>
      </c>
      <c r="DK743" s="1552"/>
      <c r="DL743" s="1552"/>
      <c r="DM743" s="1552"/>
      <c r="DN743" s="1552"/>
      <c r="DO743" s="1552">
        <f t="shared" si="26"/>
        <v>0</v>
      </c>
      <c r="DP743" s="1552"/>
      <c r="DQ743" s="1552"/>
      <c r="DR743" s="1552"/>
      <c r="DS743" s="1552"/>
      <c r="DT743" s="6"/>
      <c r="DU743" s="1553">
        <f t="shared" si="27"/>
        <v>0</v>
      </c>
      <c r="DV743" s="1553"/>
      <c r="DW743" s="1553"/>
      <c r="DX743" s="1553"/>
      <c r="DY743" s="1553"/>
      <c r="DZ743" s="1553">
        <f t="shared" si="28"/>
        <v>0</v>
      </c>
      <c r="EA743" s="1553"/>
      <c r="EB743" s="1553"/>
      <c r="EC743" s="1553"/>
      <c r="ED743" s="1553"/>
      <c r="EE743" s="1553">
        <f t="shared" si="29"/>
        <v>0</v>
      </c>
      <c r="EF743" s="1553"/>
      <c r="EG743" s="1553"/>
      <c r="EH743" s="1553"/>
      <c r="EI743" s="1553"/>
      <c r="EJ743" s="1553">
        <f t="shared" si="30"/>
        <v>0</v>
      </c>
      <c r="EK743" s="1553"/>
      <c r="EL743" s="1553"/>
      <c r="EM743" s="1553"/>
      <c r="EN743" s="1553"/>
      <c r="EO743" s="1553">
        <f t="shared" si="31"/>
        <v>0</v>
      </c>
      <c r="EP743" s="1553"/>
      <c r="EQ743" s="1553"/>
      <c r="ER743" s="1553"/>
      <c r="ES743" s="1553"/>
      <c r="ET743" s="1553">
        <f t="shared" si="32"/>
        <v>0</v>
      </c>
      <c r="EU743" s="1553"/>
      <c r="EV743" s="1553"/>
      <c r="EW743" s="1553"/>
      <c r="EX743" s="1553"/>
      <c r="EZ743" s="1559" t="str">
        <f t="shared" si="33"/>
        <v/>
      </c>
      <c r="FA743" s="1560"/>
      <c r="FB743" s="1560"/>
      <c r="FC743" s="1560"/>
      <c r="FD743" s="1561"/>
      <c r="FE743" s="1559" t="str">
        <f t="shared" si="34"/>
        <v/>
      </c>
      <c r="FF743" s="1560"/>
      <c r="FG743" s="1560"/>
      <c r="FH743" s="1560"/>
      <c r="FI743" s="1561"/>
      <c r="FJ743" s="1559" t="str">
        <f t="shared" si="35"/>
        <v/>
      </c>
      <c r="FK743" s="1560"/>
      <c r="FL743" s="1560"/>
      <c r="FM743" s="1560"/>
      <c r="FN743" s="1561"/>
      <c r="FO743" s="1559" t="str">
        <f t="shared" si="36"/>
        <v/>
      </c>
      <c r="FP743" s="1560"/>
      <c r="FQ743" s="1560"/>
      <c r="FR743" s="1560"/>
      <c r="FS743" s="1561"/>
      <c r="FT743" s="1559" t="str">
        <f t="shared" si="37"/>
        <v/>
      </c>
      <c r="FU743" s="1560"/>
      <c r="FV743" s="1560"/>
      <c r="FW743" s="1560"/>
      <c r="FX743" s="1561"/>
      <c r="FY743" s="1559" t="str">
        <f t="shared" si="38"/>
        <v/>
      </c>
      <c r="FZ743" s="1560"/>
      <c r="GA743" s="1560"/>
      <c r="GB743" s="1560"/>
      <c r="GC743" s="1561"/>
    </row>
    <row r="744" spans="1:185" ht="12.9" customHeight="1">
      <c r="B744" s="1368"/>
      <c r="C744" s="1369"/>
      <c r="D744" s="1369"/>
      <c r="E744" s="1369"/>
      <c r="F744" s="1370"/>
      <c r="G744" s="1362"/>
      <c r="H744" s="1363"/>
      <c r="I744" s="1363"/>
      <c r="J744" s="1364"/>
      <c r="K744" s="1365"/>
      <c r="L744" s="1366"/>
      <c r="M744" s="1366"/>
      <c r="N744" s="1367"/>
      <c r="O744" s="1404"/>
      <c r="P744" s="1405"/>
      <c r="Q744" s="1405"/>
      <c r="R744" s="1405"/>
      <c r="S744" s="1406"/>
      <c r="T744" s="1404"/>
      <c r="U744" s="1405"/>
      <c r="V744" s="1405"/>
      <c r="W744" s="1406"/>
      <c r="X744" s="1407">
        <f t="shared" si="11"/>
        <v>0</v>
      </c>
      <c r="Y744" s="1403"/>
      <c r="Z744" s="1403"/>
      <c r="AA744" s="1403"/>
      <c r="AB744" s="1408"/>
      <c r="AC744" s="1409"/>
      <c r="AD744" s="1410"/>
      <c r="AE744" s="1410"/>
      <c r="AF744" s="1410"/>
      <c r="AG744" s="1411"/>
      <c r="AH744" s="1463" t="str">
        <f t="shared" si="39"/>
        <v/>
      </c>
      <c r="AI744" s="1464"/>
      <c r="AJ744" s="1465"/>
      <c r="AK744" s="1368" t="s">
        <v>591</v>
      </c>
      <c r="AL744" s="1369"/>
      <c r="AM744" s="1369"/>
      <c r="AN744" s="1369"/>
      <c r="AO744" s="1370"/>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559">
        <f t="shared" si="40"/>
        <v>0</v>
      </c>
      <c r="CH744" s="1561"/>
      <c r="CI744" s="1693">
        <f t="shared" si="41"/>
        <v>0</v>
      </c>
      <c r="CJ744" s="1694"/>
      <c r="CK744" s="1559">
        <f t="shared" si="19"/>
        <v>0</v>
      </c>
      <c r="CL744" s="1561"/>
      <c r="CM744" s="1693">
        <f t="shared" si="20"/>
        <v>0</v>
      </c>
      <c r="CN744" s="1694"/>
      <c r="CO744" s="3"/>
      <c r="CP744" s="1555">
        <f t="shared" si="21"/>
        <v>0</v>
      </c>
      <c r="CQ744" s="1556"/>
      <c r="CR744" s="1556"/>
      <c r="CS744" s="1556"/>
      <c r="CT744" s="1557"/>
      <c r="CU744" s="1552">
        <f t="shared" si="22"/>
        <v>0</v>
      </c>
      <c r="CV744" s="1552"/>
      <c r="CW744" s="1552"/>
      <c r="CX744" s="1552"/>
      <c r="CY744" s="1552"/>
      <c r="CZ744" s="1552">
        <f t="shared" si="23"/>
        <v>0</v>
      </c>
      <c r="DA744" s="1552"/>
      <c r="DB744" s="1552"/>
      <c r="DC744" s="1552"/>
      <c r="DD744" s="1552"/>
      <c r="DE744" s="1552">
        <f t="shared" si="24"/>
        <v>0</v>
      </c>
      <c r="DF744" s="1552"/>
      <c r="DG744" s="1552"/>
      <c r="DH744" s="1552"/>
      <c r="DI744" s="1552"/>
      <c r="DJ744" s="1552">
        <f t="shared" si="25"/>
        <v>0</v>
      </c>
      <c r="DK744" s="1552"/>
      <c r="DL744" s="1552"/>
      <c r="DM744" s="1552"/>
      <c r="DN744" s="1552"/>
      <c r="DO744" s="1552">
        <f t="shared" si="26"/>
        <v>0</v>
      </c>
      <c r="DP744" s="1552"/>
      <c r="DQ744" s="1552"/>
      <c r="DR744" s="1552"/>
      <c r="DS744" s="1552"/>
      <c r="DT744" s="6"/>
      <c r="DU744" s="1553">
        <f t="shared" si="27"/>
        <v>0</v>
      </c>
      <c r="DV744" s="1553"/>
      <c r="DW744" s="1553"/>
      <c r="DX744" s="1553"/>
      <c r="DY744" s="1553"/>
      <c r="DZ744" s="1553">
        <f t="shared" si="28"/>
        <v>0</v>
      </c>
      <c r="EA744" s="1553"/>
      <c r="EB744" s="1553"/>
      <c r="EC744" s="1553"/>
      <c r="ED744" s="1553"/>
      <c r="EE744" s="1553">
        <f t="shared" si="29"/>
        <v>0</v>
      </c>
      <c r="EF744" s="1553"/>
      <c r="EG744" s="1553"/>
      <c r="EH744" s="1553"/>
      <c r="EI744" s="1553"/>
      <c r="EJ744" s="1553">
        <f t="shared" si="30"/>
        <v>0</v>
      </c>
      <c r="EK744" s="1553"/>
      <c r="EL744" s="1553"/>
      <c r="EM744" s="1553"/>
      <c r="EN744" s="1553"/>
      <c r="EO744" s="1553">
        <f t="shared" si="31"/>
        <v>0</v>
      </c>
      <c r="EP744" s="1553"/>
      <c r="EQ744" s="1553"/>
      <c r="ER744" s="1553"/>
      <c r="ES744" s="1553"/>
      <c r="ET744" s="1553">
        <f t="shared" si="32"/>
        <v>0</v>
      </c>
      <c r="EU744" s="1553"/>
      <c r="EV744" s="1553"/>
      <c r="EW744" s="1553"/>
      <c r="EX744" s="1553"/>
      <c r="EZ744" s="1559" t="str">
        <f t="shared" si="33"/>
        <v/>
      </c>
      <c r="FA744" s="1560"/>
      <c r="FB744" s="1560"/>
      <c r="FC744" s="1560"/>
      <c r="FD744" s="1561"/>
      <c r="FE744" s="1559" t="str">
        <f t="shared" si="34"/>
        <v/>
      </c>
      <c r="FF744" s="1560"/>
      <c r="FG744" s="1560"/>
      <c r="FH744" s="1560"/>
      <c r="FI744" s="1561"/>
      <c r="FJ744" s="1559" t="str">
        <f t="shared" si="35"/>
        <v/>
      </c>
      <c r="FK744" s="1560"/>
      <c r="FL744" s="1560"/>
      <c r="FM744" s="1560"/>
      <c r="FN744" s="1561"/>
      <c r="FO744" s="1559" t="str">
        <f t="shared" si="36"/>
        <v/>
      </c>
      <c r="FP744" s="1560"/>
      <c r="FQ744" s="1560"/>
      <c r="FR744" s="1560"/>
      <c r="FS744" s="1561"/>
      <c r="FT744" s="1559" t="str">
        <f t="shared" si="37"/>
        <v/>
      </c>
      <c r="FU744" s="1560"/>
      <c r="FV744" s="1560"/>
      <c r="FW744" s="1560"/>
      <c r="FX744" s="1561"/>
      <c r="FY744" s="1559" t="str">
        <f t="shared" si="38"/>
        <v/>
      </c>
      <c r="FZ744" s="1560"/>
      <c r="GA744" s="1560"/>
      <c r="GB744" s="1560"/>
      <c r="GC744" s="1561"/>
    </row>
    <row r="745" spans="1:185" ht="12.9" customHeight="1">
      <c r="B745" s="1368"/>
      <c r="C745" s="1369"/>
      <c r="D745" s="1369"/>
      <c r="E745" s="1369"/>
      <c r="F745" s="1370"/>
      <c r="G745" s="1362"/>
      <c r="H745" s="1363"/>
      <c r="I745" s="1363"/>
      <c r="J745" s="1364"/>
      <c r="K745" s="1365"/>
      <c r="L745" s="1366"/>
      <c r="M745" s="1366"/>
      <c r="N745" s="1367"/>
      <c r="O745" s="1404"/>
      <c r="P745" s="1405"/>
      <c r="Q745" s="1405"/>
      <c r="R745" s="1405"/>
      <c r="S745" s="1406"/>
      <c r="T745" s="1404"/>
      <c r="U745" s="1405"/>
      <c r="V745" s="1405"/>
      <c r="W745" s="1406"/>
      <c r="X745" s="1407">
        <f t="shared" si="11"/>
        <v>0</v>
      </c>
      <c r="Y745" s="1403"/>
      <c r="Z745" s="1403"/>
      <c r="AA745" s="1403"/>
      <c r="AB745" s="1408"/>
      <c r="AC745" s="1409"/>
      <c r="AD745" s="1410"/>
      <c r="AE745" s="1410"/>
      <c r="AF745" s="1410"/>
      <c r="AG745" s="1411"/>
      <c r="AH745" s="1463" t="str">
        <f t="shared" si="39"/>
        <v/>
      </c>
      <c r="AI745" s="1464"/>
      <c r="AJ745" s="1465"/>
      <c r="AK745" s="1368" t="s">
        <v>591</v>
      </c>
      <c r="AL745" s="1369"/>
      <c r="AM745" s="1369"/>
      <c r="AN745" s="1369"/>
      <c r="AO745" s="1370"/>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559">
        <f t="shared" si="40"/>
        <v>0</v>
      </c>
      <c r="CH745" s="1561"/>
      <c r="CI745" s="1693">
        <f t="shared" si="41"/>
        <v>0</v>
      </c>
      <c r="CJ745" s="1694"/>
      <c r="CK745" s="1559">
        <f t="shared" si="19"/>
        <v>0</v>
      </c>
      <c r="CL745" s="1561"/>
      <c r="CM745" s="1693">
        <f t="shared" si="20"/>
        <v>0</v>
      </c>
      <c r="CN745" s="1694"/>
      <c r="CO745" s="3"/>
      <c r="CP745" s="1555">
        <f t="shared" si="21"/>
        <v>0</v>
      </c>
      <c r="CQ745" s="1556"/>
      <c r="CR745" s="1556"/>
      <c r="CS745" s="1556"/>
      <c r="CT745" s="1557"/>
      <c r="CU745" s="1552">
        <f t="shared" si="22"/>
        <v>0</v>
      </c>
      <c r="CV745" s="1552"/>
      <c r="CW745" s="1552"/>
      <c r="CX745" s="1552"/>
      <c r="CY745" s="1552"/>
      <c r="CZ745" s="1552">
        <f t="shared" si="23"/>
        <v>0</v>
      </c>
      <c r="DA745" s="1552"/>
      <c r="DB745" s="1552"/>
      <c r="DC745" s="1552"/>
      <c r="DD745" s="1552"/>
      <c r="DE745" s="1552">
        <f t="shared" si="24"/>
        <v>0</v>
      </c>
      <c r="DF745" s="1552"/>
      <c r="DG745" s="1552"/>
      <c r="DH745" s="1552"/>
      <c r="DI745" s="1552"/>
      <c r="DJ745" s="1552">
        <f t="shared" si="25"/>
        <v>0</v>
      </c>
      <c r="DK745" s="1552"/>
      <c r="DL745" s="1552"/>
      <c r="DM745" s="1552"/>
      <c r="DN745" s="1552"/>
      <c r="DO745" s="1552">
        <f t="shared" si="26"/>
        <v>0</v>
      </c>
      <c r="DP745" s="1552"/>
      <c r="DQ745" s="1552"/>
      <c r="DR745" s="1552"/>
      <c r="DS745" s="1552"/>
      <c r="DT745" s="6"/>
      <c r="DU745" s="1553">
        <f t="shared" si="27"/>
        <v>0</v>
      </c>
      <c r="DV745" s="1553"/>
      <c r="DW745" s="1553"/>
      <c r="DX745" s="1553"/>
      <c r="DY745" s="1553"/>
      <c r="DZ745" s="1553">
        <f t="shared" si="28"/>
        <v>0</v>
      </c>
      <c r="EA745" s="1553"/>
      <c r="EB745" s="1553"/>
      <c r="EC745" s="1553"/>
      <c r="ED745" s="1553"/>
      <c r="EE745" s="1553">
        <f t="shared" si="29"/>
        <v>0</v>
      </c>
      <c r="EF745" s="1553"/>
      <c r="EG745" s="1553"/>
      <c r="EH745" s="1553"/>
      <c r="EI745" s="1553"/>
      <c r="EJ745" s="1553">
        <f t="shared" si="30"/>
        <v>0</v>
      </c>
      <c r="EK745" s="1553"/>
      <c r="EL745" s="1553"/>
      <c r="EM745" s="1553"/>
      <c r="EN745" s="1553"/>
      <c r="EO745" s="1553">
        <f t="shared" si="31"/>
        <v>0</v>
      </c>
      <c r="EP745" s="1553"/>
      <c r="EQ745" s="1553"/>
      <c r="ER745" s="1553"/>
      <c r="ES745" s="1553"/>
      <c r="ET745" s="1553">
        <f t="shared" si="32"/>
        <v>0</v>
      </c>
      <c r="EU745" s="1553"/>
      <c r="EV745" s="1553"/>
      <c r="EW745" s="1553"/>
      <c r="EX745" s="1553"/>
      <c r="EZ745" s="1559" t="str">
        <f t="shared" si="33"/>
        <v/>
      </c>
      <c r="FA745" s="1560"/>
      <c r="FB745" s="1560"/>
      <c r="FC745" s="1560"/>
      <c r="FD745" s="1561"/>
      <c r="FE745" s="1559" t="str">
        <f t="shared" si="34"/>
        <v/>
      </c>
      <c r="FF745" s="1560"/>
      <c r="FG745" s="1560"/>
      <c r="FH745" s="1560"/>
      <c r="FI745" s="1561"/>
      <c r="FJ745" s="1559" t="str">
        <f t="shared" si="35"/>
        <v/>
      </c>
      <c r="FK745" s="1560"/>
      <c r="FL745" s="1560"/>
      <c r="FM745" s="1560"/>
      <c r="FN745" s="1561"/>
      <c r="FO745" s="1559" t="str">
        <f t="shared" si="36"/>
        <v/>
      </c>
      <c r="FP745" s="1560"/>
      <c r="FQ745" s="1560"/>
      <c r="FR745" s="1560"/>
      <c r="FS745" s="1561"/>
      <c r="FT745" s="1559" t="str">
        <f t="shared" si="37"/>
        <v/>
      </c>
      <c r="FU745" s="1560"/>
      <c r="FV745" s="1560"/>
      <c r="FW745" s="1560"/>
      <c r="FX745" s="1561"/>
      <c r="FY745" s="1559" t="str">
        <f t="shared" si="38"/>
        <v/>
      </c>
      <c r="FZ745" s="1560"/>
      <c r="GA745" s="1560"/>
      <c r="GB745" s="1560"/>
      <c r="GC745" s="1561"/>
    </row>
    <row r="746" spans="1:185" ht="12.9" customHeight="1">
      <c r="B746" s="1368"/>
      <c r="C746" s="1369"/>
      <c r="D746" s="1369"/>
      <c r="E746" s="1369"/>
      <c r="F746" s="1370"/>
      <c r="G746" s="1362"/>
      <c r="H746" s="1363"/>
      <c r="I746" s="1363"/>
      <c r="J746" s="1364"/>
      <c r="K746" s="1365"/>
      <c r="L746" s="1366"/>
      <c r="M746" s="1366"/>
      <c r="N746" s="1367"/>
      <c r="O746" s="1404"/>
      <c r="P746" s="1405"/>
      <c r="Q746" s="1405"/>
      <c r="R746" s="1405"/>
      <c r="S746" s="1406"/>
      <c r="T746" s="1404"/>
      <c r="U746" s="1405"/>
      <c r="V746" s="1405"/>
      <c r="W746" s="1406"/>
      <c r="X746" s="1407">
        <f t="shared" si="11"/>
        <v>0</v>
      </c>
      <c r="Y746" s="1403"/>
      <c r="Z746" s="1403"/>
      <c r="AA746" s="1403"/>
      <c r="AB746" s="1408"/>
      <c r="AC746" s="1409"/>
      <c r="AD746" s="1410"/>
      <c r="AE746" s="1410"/>
      <c r="AF746" s="1410"/>
      <c r="AG746" s="1411"/>
      <c r="AH746" s="1463" t="str">
        <f t="shared" si="39"/>
        <v/>
      </c>
      <c r="AI746" s="1464"/>
      <c r="AJ746" s="1465"/>
      <c r="AK746" s="1368" t="s">
        <v>591</v>
      </c>
      <c r="AL746" s="1369"/>
      <c r="AM746" s="1369"/>
      <c r="AN746" s="1369"/>
      <c r="AO746" s="1370"/>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559">
        <f t="shared" si="40"/>
        <v>0</v>
      </c>
      <c r="CH746" s="1561"/>
      <c r="CI746" s="1693">
        <f t="shared" si="41"/>
        <v>0</v>
      </c>
      <c r="CJ746" s="1694"/>
      <c r="CK746" s="1559">
        <f t="shared" si="19"/>
        <v>0</v>
      </c>
      <c r="CL746" s="1561"/>
      <c r="CM746" s="1693">
        <f t="shared" si="20"/>
        <v>0</v>
      </c>
      <c r="CN746" s="1694"/>
      <c r="CO746" s="3"/>
      <c r="CP746" s="1555">
        <f t="shared" si="21"/>
        <v>0</v>
      </c>
      <c r="CQ746" s="1556"/>
      <c r="CR746" s="1556"/>
      <c r="CS746" s="1556"/>
      <c r="CT746" s="1557"/>
      <c r="CU746" s="1552">
        <f t="shared" si="22"/>
        <v>0</v>
      </c>
      <c r="CV746" s="1552"/>
      <c r="CW746" s="1552"/>
      <c r="CX746" s="1552"/>
      <c r="CY746" s="1552"/>
      <c r="CZ746" s="1552">
        <f t="shared" si="23"/>
        <v>0</v>
      </c>
      <c r="DA746" s="1552"/>
      <c r="DB746" s="1552"/>
      <c r="DC746" s="1552"/>
      <c r="DD746" s="1552"/>
      <c r="DE746" s="1552">
        <f t="shared" si="24"/>
        <v>0</v>
      </c>
      <c r="DF746" s="1552"/>
      <c r="DG746" s="1552"/>
      <c r="DH746" s="1552"/>
      <c r="DI746" s="1552"/>
      <c r="DJ746" s="1552">
        <f t="shared" si="25"/>
        <v>0</v>
      </c>
      <c r="DK746" s="1552"/>
      <c r="DL746" s="1552"/>
      <c r="DM746" s="1552"/>
      <c r="DN746" s="1552"/>
      <c r="DO746" s="1552">
        <f t="shared" si="26"/>
        <v>0</v>
      </c>
      <c r="DP746" s="1552"/>
      <c r="DQ746" s="1552"/>
      <c r="DR746" s="1552"/>
      <c r="DS746" s="1552"/>
      <c r="DT746" s="6"/>
      <c r="DU746" s="1553">
        <f t="shared" si="27"/>
        <v>0</v>
      </c>
      <c r="DV746" s="1553"/>
      <c r="DW746" s="1553"/>
      <c r="DX746" s="1553"/>
      <c r="DY746" s="1553"/>
      <c r="DZ746" s="1553">
        <f t="shared" si="28"/>
        <v>0</v>
      </c>
      <c r="EA746" s="1553"/>
      <c r="EB746" s="1553"/>
      <c r="EC746" s="1553"/>
      <c r="ED746" s="1553"/>
      <c r="EE746" s="1553">
        <f t="shared" si="29"/>
        <v>0</v>
      </c>
      <c r="EF746" s="1553"/>
      <c r="EG746" s="1553"/>
      <c r="EH746" s="1553"/>
      <c r="EI746" s="1553"/>
      <c r="EJ746" s="1553">
        <f t="shared" si="30"/>
        <v>0</v>
      </c>
      <c r="EK746" s="1553"/>
      <c r="EL746" s="1553"/>
      <c r="EM746" s="1553"/>
      <c r="EN746" s="1553"/>
      <c r="EO746" s="1553">
        <f t="shared" si="31"/>
        <v>0</v>
      </c>
      <c r="EP746" s="1553"/>
      <c r="EQ746" s="1553"/>
      <c r="ER746" s="1553"/>
      <c r="ES746" s="1553"/>
      <c r="ET746" s="1553">
        <f t="shared" si="32"/>
        <v>0</v>
      </c>
      <c r="EU746" s="1553"/>
      <c r="EV746" s="1553"/>
      <c r="EW746" s="1553"/>
      <c r="EX746" s="1553"/>
      <c r="EZ746" s="1559" t="str">
        <f t="shared" si="33"/>
        <v/>
      </c>
      <c r="FA746" s="1560"/>
      <c r="FB746" s="1560"/>
      <c r="FC746" s="1560"/>
      <c r="FD746" s="1561"/>
      <c r="FE746" s="1559" t="str">
        <f t="shared" si="34"/>
        <v/>
      </c>
      <c r="FF746" s="1560"/>
      <c r="FG746" s="1560"/>
      <c r="FH746" s="1560"/>
      <c r="FI746" s="1561"/>
      <c r="FJ746" s="1559" t="str">
        <f t="shared" si="35"/>
        <v/>
      </c>
      <c r="FK746" s="1560"/>
      <c r="FL746" s="1560"/>
      <c r="FM746" s="1560"/>
      <c r="FN746" s="1561"/>
      <c r="FO746" s="1559" t="str">
        <f t="shared" si="36"/>
        <v/>
      </c>
      <c r="FP746" s="1560"/>
      <c r="FQ746" s="1560"/>
      <c r="FR746" s="1560"/>
      <c r="FS746" s="1561"/>
      <c r="FT746" s="1559" t="str">
        <f t="shared" si="37"/>
        <v/>
      </c>
      <c r="FU746" s="1560"/>
      <c r="FV746" s="1560"/>
      <c r="FW746" s="1560"/>
      <c r="FX746" s="1561"/>
      <c r="FY746" s="1559" t="str">
        <f t="shared" si="38"/>
        <v/>
      </c>
      <c r="FZ746" s="1560"/>
      <c r="GA746" s="1560"/>
      <c r="GB746" s="1560"/>
      <c r="GC746" s="1561"/>
    </row>
    <row r="747" spans="1:185" ht="12.9" customHeight="1">
      <c r="B747" s="1368"/>
      <c r="C747" s="1369"/>
      <c r="D747" s="1369"/>
      <c r="E747" s="1369"/>
      <c r="F747" s="1370"/>
      <c r="G747" s="1362"/>
      <c r="H747" s="1363"/>
      <c r="I747" s="1363"/>
      <c r="J747" s="1364"/>
      <c r="K747" s="1365"/>
      <c r="L747" s="1366"/>
      <c r="M747" s="1366"/>
      <c r="N747" s="1367"/>
      <c r="O747" s="1404"/>
      <c r="P747" s="1405"/>
      <c r="Q747" s="1405"/>
      <c r="R747" s="1405"/>
      <c r="S747" s="1406"/>
      <c r="T747" s="1404"/>
      <c r="U747" s="1405"/>
      <c r="V747" s="1405"/>
      <c r="W747" s="1406"/>
      <c r="X747" s="1407">
        <f t="shared" si="11"/>
        <v>0</v>
      </c>
      <c r="Y747" s="1403"/>
      <c r="Z747" s="1403"/>
      <c r="AA747" s="1403"/>
      <c r="AB747" s="1408"/>
      <c r="AC747" s="1409"/>
      <c r="AD747" s="1410"/>
      <c r="AE747" s="1410"/>
      <c r="AF747" s="1410"/>
      <c r="AG747" s="1411"/>
      <c r="AH747" s="1463" t="str">
        <f t="shared" si="39"/>
        <v/>
      </c>
      <c r="AI747" s="1464"/>
      <c r="AJ747" s="1465"/>
      <c r="AK747" s="1368" t="s">
        <v>591</v>
      </c>
      <c r="AL747" s="1369"/>
      <c r="AM747" s="1369"/>
      <c r="AN747" s="1369"/>
      <c r="AO747" s="1370"/>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559">
        <f t="shared" si="40"/>
        <v>0</v>
      </c>
      <c r="CH747" s="1561"/>
      <c r="CI747" s="1693">
        <f t="shared" si="41"/>
        <v>0</v>
      </c>
      <c r="CJ747" s="1694"/>
      <c r="CK747" s="1559">
        <f t="shared" si="19"/>
        <v>0</v>
      </c>
      <c r="CL747" s="1561"/>
      <c r="CM747" s="1693">
        <f t="shared" si="20"/>
        <v>0</v>
      </c>
      <c r="CN747" s="1694"/>
      <c r="CO747" s="3"/>
      <c r="CP747" s="1555">
        <f t="shared" si="21"/>
        <v>0</v>
      </c>
      <c r="CQ747" s="1556"/>
      <c r="CR747" s="1556"/>
      <c r="CS747" s="1556"/>
      <c r="CT747" s="1557"/>
      <c r="CU747" s="1552">
        <f t="shared" si="22"/>
        <v>0</v>
      </c>
      <c r="CV747" s="1552"/>
      <c r="CW747" s="1552"/>
      <c r="CX747" s="1552"/>
      <c r="CY747" s="1552"/>
      <c r="CZ747" s="1552">
        <f t="shared" si="23"/>
        <v>0</v>
      </c>
      <c r="DA747" s="1552"/>
      <c r="DB747" s="1552"/>
      <c r="DC747" s="1552"/>
      <c r="DD747" s="1552"/>
      <c r="DE747" s="1552">
        <f t="shared" si="24"/>
        <v>0</v>
      </c>
      <c r="DF747" s="1552"/>
      <c r="DG747" s="1552"/>
      <c r="DH747" s="1552"/>
      <c r="DI747" s="1552"/>
      <c r="DJ747" s="1552">
        <f t="shared" si="25"/>
        <v>0</v>
      </c>
      <c r="DK747" s="1552"/>
      <c r="DL747" s="1552"/>
      <c r="DM747" s="1552"/>
      <c r="DN747" s="1552"/>
      <c r="DO747" s="1552">
        <f t="shared" si="26"/>
        <v>0</v>
      </c>
      <c r="DP747" s="1552"/>
      <c r="DQ747" s="1552"/>
      <c r="DR747" s="1552"/>
      <c r="DS747" s="1552"/>
      <c r="DT747" s="6"/>
      <c r="DU747" s="1553">
        <f t="shared" si="27"/>
        <v>0</v>
      </c>
      <c r="DV747" s="1553"/>
      <c r="DW747" s="1553"/>
      <c r="DX747" s="1553"/>
      <c r="DY747" s="1553"/>
      <c r="DZ747" s="1553">
        <f t="shared" si="28"/>
        <v>0</v>
      </c>
      <c r="EA747" s="1553"/>
      <c r="EB747" s="1553"/>
      <c r="EC747" s="1553"/>
      <c r="ED747" s="1553"/>
      <c r="EE747" s="1553">
        <f t="shared" si="29"/>
        <v>0</v>
      </c>
      <c r="EF747" s="1553"/>
      <c r="EG747" s="1553"/>
      <c r="EH747" s="1553"/>
      <c r="EI747" s="1553"/>
      <c r="EJ747" s="1553">
        <f t="shared" si="30"/>
        <v>0</v>
      </c>
      <c r="EK747" s="1553"/>
      <c r="EL747" s="1553"/>
      <c r="EM747" s="1553"/>
      <c r="EN747" s="1553"/>
      <c r="EO747" s="1553">
        <f t="shared" si="31"/>
        <v>0</v>
      </c>
      <c r="EP747" s="1553"/>
      <c r="EQ747" s="1553"/>
      <c r="ER747" s="1553"/>
      <c r="ES747" s="1553"/>
      <c r="ET747" s="1553">
        <f t="shared" si="32"/>
        <v>0</v>
      </c>
      <c r="EU747" s="1553"/>
      <c r="EV747" s="1553"/>
      <c r="EW747" s="1553"/>
      <c r="EX747" s="1553"/>
      <c r="EZ747" s="1559" t="str">
        <f t="shared" si="33"/>
        <v/>
      </c>
      <c r="FA747" s="1560"/>
      <c r="FB747" s="1560"/>
      <c r="FC747" s="1560"/>
      <c r="FD747" s="1561"/>
      <c r="FE747" s="1559" t="str">
        <f t="shared" si="34"/>
        <v/>
      </c>
      <c r="FF747" s="1560"/>
      <c r="FG747" s="1560"/>
      <c r="FH747" s="1560"/>
      <c r="FI747" s="1561"/>
      <c r="FJ747" s="1559" t="str">
        <f t="shared" si="35"/>
        <v/>
      </c>
      <c r="FK747" s="1560"/>
      <c r="FL747" s="1560"/>
      <c r="FM747" s="1560"/>
      <c r="FN747" s="1561"/>
      <c r="FO747" s="1559" t="str">
        <f t="shared" si="36"/>
        <v/>
      </c>
      <c r="FP747" s="1560"/>
      <c r="FQ747" s="1560"/>
      <c r="FR747" s="1560"/>
      <c r="FS747" s="1561"/>
      <c r="FT747" s="1559" t="str">
        <f t="shared" si="37"/>
        <v/>
      </c>
      <c r="FU747" s="1560"/>
      <c r="FV747" s="1560"/>
      <c r="FW747" s="1560"/>
      <c r="FX747" s="1561"/>
      <c r="FY747" s="1559" t="str">
        <f t="shared" si="38"/>
        <v/>
      </c>
      <c r="FZ747" s="1560"/>
      <c r="GA747" s="1560"/>
      <c r="GB747" s="1560"/>
      <c r="GC747" s="1561"/>
    </row>
    <row r="748" spans="1:185" ht="12.9" customHeight="1">
      <c r="B748" s="1368"/>
      <c r="C748" s="1369"/>
      <c r="D748" s="1369"/>
      <c r="E748" s="1369"/>
      <c r="F748" s="1370"/>
      <c r="G748" s="1362"/>
      <c r="H748" s="1363"/>
      <c r="I748" s="1363"/>
      <c r="J748" s="1364"/>
      <c r="K748" s="1365"/>
      <c r="L748" s="1366"/>
      <c r="M748" s="1366"/>
      <c r="N748" s="1367"/>
      <c r="O748" s="1404"/>
      <c r="P748" s="1405"/>
      <c r="Q748" s="1405"/>
      <c r="R748" s="1405"/>
      <c r="S748" s="1406"/>
      <c r="T748" s="1404"/>
      <c r="U748" s="1405"/>
      <c r="V748" s="1405"/>
      <c r="W748" s="1406"/>
      <c r="X748" s="1407">
        <f t="shared" si="11"/>
        <v>0</v>
      </c>
      <c r="Y748" s="1403"/>
      <c r="Z748" s="1403"/>
      <c r="AA748" s="1403"/>
      <c r="AB748" s="1408"/>
      <c r="AC748" s="1409"/>
      <c r="AD748" s="1410"/>
      <c r="AE748" s="1410"/>
      <c r="AF748" s="1410"/>
      <c r="AG748" s="1411"/>
      <c r="AH748" s="1463" t="str">
        <f t="shared" si="39"/>
        <v/>
      </c>
      <c r="AI748" s="1464"/>
      <c r="AJ748" s="1465"/>
      <c r="AK748" s="1368" t="s">
        <v>591</v>
      </c>
      <c r="AL748" s="1369"/>
      <c r="AM748" s="1369"/>
      <c r="AN748" s="1369"/>
      <c r="AO748" s="1370"/>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559">
        <f t="shared" si="40"/>
        <v>0</v>
      </c>
      <c r="CH748" s="1561"/>
      <c r="CI748" s="1693">
        <f t="shared" si="41"/>
        <v>0</v>
      </c>
      <c r="CJ748" s="1694"/>
      <c r="CK748" s="1559">
        <f t="shared" si="19"/>
        <v>0</v>
      </c>
      <c r="CL748" s="1561"/>
      <c r="CM748" s="1693">
        <f t="shared" si="20"/>
        <v>0</v>
      </c>
      <c r="CN748" s="1694"/>
      <c r="CO748" s="3"/>
      <c r="CP748" s="1555">
        <f t="shared" si="21"/>
        <v>0</v>
      </c>
      <c r="CQ748" s="1556"/>
      <c r="CR748" s="1556"/>
      <c r="CS748" s="1556"/>
      <c r="CT748" s="1557"/>
      <c r="CU748" s="1552">
        <f t="shared" si="22"/>
        <v>0</v>
      </c>
      <c r="CV748" s="1552"/>
      <c r="CW748" s="1552"/>
      <c r="CX748" s="1552"/>
      <c r="CY748" s="1552"/>
      <c r="CZ748" s="1552">
        <f t="shared" si="23"/>
        <v>0</v>
      </c>
      <c r="DA748" s="1552"/>
      <c r="DB748" s="1552"/>
      <c r="DC748" s="1552"/>
      <c r="DD748" s="1552"/>
      <c r="DE748" s="1552">
        <f t="shared" si="24"/>
        <v>0</v>
      </c>
      <c r="DF748" s="1552"/>
      <c r="DG748" s="1552"/>
      <c r="DH748" s="1552"/>
      <c r="DI748" s="1552"/>
      <c r="DJ748" s="1552">
        <f t="shared" si="25"/>
        <v>0</v>
      </c>
      <c r="DK748" s="1552"/>
      <c r="DL748" s="1552"/>
      <c r="DM748" s="1552"/>
      <c r="DN748" s="1552"/>
      <c r="DO748" s="1552">
        <f t="shared" si="26"/>
        <v>0</v>
      </c>
      <c r="DP748" s="1552"/>
      <c r="DQ748" s="1552"/>
      <c r="DR748" s="1552"/>
      <c r="DS748" s="1552"/>
      <c r="DT748" s="6"/>
      <c r="DU748" s="1553">
        <f t="shared" si="27"/>
        <v>0</v>
      </c>
      <c r="DV748" s="1553"/>
      <c r="DW748" s="1553"/>
      <c r="DX748" s="1553"/>
      <c r="DY748" s="1553"/>
      <c r="DZ748" s="1553">
        <f t="shared" si="28"/>
        <v>0</v>
      </c>
      <c r="EA748" s="1553"/>
      <c r="EB748" s="1553"/>
      <c r="EC748" s="1553"/>
      <c r="ED748" s="1553"/>
      <c r="EE748" s="1553">
        <f t="shared" si="29"/>
        <v>0</v>
      </c>
      <c r="EF748" s="1553"/>
      <c r="EG748" s="1553"/>
      <c r="EH748" s="1553"/>
      <c r="EI748" s="1553"/>
      <c r="EJ748" s="1553">
        <f t="shared" si="30"/>
        <v>0</v>
      </c>
      <c r="EK748" s="1553"/>
      <c r="EL748" s="1553"/>
      <c r="EM748" s="1553"/>
      <c r="EN748" s="1553"/>
      <c r="EO748" s="1553">
        <f t="shared" si="31"/>
        <v>0</v>
      </c>
      <c r="EP748" s="1553"/>
      <c r="EQ748" s="1553"/>
      <c r="ER748" s="1553"/>
      <c r="ES748" s="1553"/>
      <c r="ET748" s="1553">
        <f t="shared" si="32"/>
        <v>0</v>
      </c>
      <c r="EU748" s="1553"/>
      <c r="EV748" s="1553"/>
      <c r="EW748" s="1553"/>
      <c r="EX748" s="1553"/>
      <c r="EZ748" s="1559" t="str">
        <f t="shared" si="33"/>
        <v/>
      </c>
      <c r="FA748" s="1560"/>
      <c r="FB748" s="1560"/>
      <c r="FC748" s="1560"/>
      <c r="FD748" s="1561"/>
      <c r="FE748" s="1559" t="str">
        <f t="shared" si="34"/>
        <v/>
      </c>
      <c r="FF748" s="1560"/>
      <c r="FG748" s="1560"/>
      <c r="FH748" s="1560"/>
      <c r="FI748" s="1561"/>
      <c r="FJ748" s="1559" t="str">
        <f t="shared" si="35"/>
        <v/>
      </c>
      <c r="FK748" s="1560"/>
      <c r="FL748" s="1560"/>
      <c r="FM748" s="1560"/>
      <c r="FN748" s="1561"/>
      <c r="FO748" s="1559" t="str">
        <f t="shared" si="36"/>
        <v/>
      </c>
      <c r="FP748" s="1560"/>
      <c r="FQ748" s="1560"/>
      <c r="FR748" s="1560"/>
      <c r="FS748" s="1561"/>
      <c r="FT748" s="1559" t="str">
        <f t="shared" si="37"/>
        <v/>
      </c>
      <c r="FU748" s="1560"/>
      <c r="FV748" s="1560"/>
      <c r="FW748" s="1560"/>
      <c r="FX748" s="1561"/>
      <c r="FY748" s="1559" t="str">
        <f t="shared" si="38"/>
        <v/>
      </c>
      <c r="FZ748" s="1560"/>
      <c r="GA748" s="1560"/>
      <c r="GB748" s="1560"/>
      <c r="GC748" s="1561"/>
    </row>
    <row r="749" spans="1:185" ht="12.9" customHeight="1">
      <c r="B749" s="1368"/>
      <c r="C749" s="1369"/>
      <c r="D749" s="1369"/>
      <c r="E749" s="1369"/>
      <c r="F749" s="1370"/>
      <c r="G749" s="1362"/>
      <c r="H749" s="1363"/>
      <c r="I749" s="1363"/>
      <c r="J749" s="1364"/>
      <c r="K749" s="1365"/>
      <c r="L749" s="1366"/>
      <c r="M749" s="1366"/>
      <c r="N749" s="1367"/>
      <c r="O749" s="1404"/>
      <c r="P749" s="1405"/>
      <c r="Q749" s="1405"/>
      <c r="R749" s="1405"/>
      <c r="S749" s="1406"/>
      <c r="T749" s="1404"/>
      <c r="U749" s="1405"/>
      <c r="V749" s="1405"/>
      <c r="W749" s="1406"/>
      <c r="X749" s="1407">
        <f t="shared" si="11"/>
        <v>0</v>
      </c>
      <c r="Y749" s="1403"/>
      <c r="Z749" s="1403"/>
      <c r="AA749" s="1403"/>
      <c r="AB749" s="1408"/>
      <c r="AC749" s="1409"/>
      <c r="AD749" s="1410"/>
      <c r="AE749" s="1410"/>
      <c r="AF749" s="1410"/>
      <c r="AG749" s="1411"/>
      <c r="AH749" s="1463" t="str">
        <f t="shared" si="39"/>
        <v/>
      </c>
      <c r="AI749" s="1464"/>
      <c r="AJ749" s="1465"/>
      <c r="AK749" s="1368" t="s">
        <v>591</v>
      </c>
      <c r="AL749" s="1369"/>
      <c r="AM749" s="1369"/>
      <c r="AN749" s="1369"/>
      <c r="AO749" s="1370"/>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559">
        <f t="shared" si="40"/>
        <v>0</v>
      </c>
      <c r="CH749" s="1561"/>
      <c r="CI749" s="1693">
        <f t="shared" si="41"/>
        <v>0</v>
      </c>
      <c r="CJ749" s="1694"/>
      <c r="CK749" s="1559">
        <f t="shared" si="19"/>
        <v>0</v>
      </c>
      <c r="CL749" s="1561"/>
      <c r="CM749" s="1693">
        <f t="shared" si="20"/>
        <v>0</v>
      </c>
      <c r="CN749" s="1694"/>
      <c r="CO749" s="3"/>
      <c r="CP749" s="1555">
        <f t="shared" si="21"/>
        <v>0</v>
      </c>
      <c r="CQ749" s="1556"/>
      <c r="CR749" s="1556"/>
      <c r="CS749" s="1556"/>
      <c r="CT749" s="1557"/>
      <c r="CU749" s="1552">
        <f t="shared" si="22"/>
        <v>0</v>
      </c>
      <c r="CV749" s="1552"/>
      <c r="CW749" s="1552"/>
      <c r="CX749" s="1552"/>
      <c r="CY749" s="1552"/>
      <c r="CZ749" s="1552">
        <f t="shared" si="23"/>
        <v>0</v>
      </c>
      <c r="DA749" s="1552"/>
      <c r="DB749" s="1552"/>
      <c r="DC749" s="1552"/>
      <c r="DD749" s="1552"/>
      <c r="DE749" s="1552">
        <f t="shared" si="24"/>
        <v>0</v>
      </c>
      <c r="DF749" s="1552"/>
      <c r="DG749" s="1552"/>
      <c r="DH749" s="1552"/>
      <c r="DI749" s="1552"/>
      <c r="DJ749" s="1552">
        <f t="shared" si="25"/>
        <v>0</v>
      </c>
      <c r="DK749" s="1552"/>
      <c r="DL749" s="1552"/>
      <c r="DM749" s="1552"/>
      <c r="DN749" s="1552"/>
      <c r="DO749" s="1552">
        <f t="shared" si="26"/>
        <v>0</v>
      </c>
      <c r="DP749" s="1552"/>
      <c r="DQ749" s="1552"/>
      <c r="DR749" s="1552"/>
      <c r="DS749" s="1552"/>
      <c r="DT749" s="6"/>
      <c r="DU749" s="1553">
        <f t="shared" si="27"/>
        <v>0</v>
      </c>
      <c r="DV749" s="1553"/>
      <c r="DW749" s="1553"/>
      <c r="DX749" s="1553"/>
      <c r="DY749" s="1553"/>
      <c r="DZ749" s="1553">
        <f t="shared" si="28"/>
        <v>0</v>
      </c>
      <c r="EA749" s="1553"/>
      <c r="EB749" s="1553"/>
      <c r="EC749" s="1553"/>
      <c r="ED749" s="1553"/>
      <c r="EE749" s="1553">
        <f t="shared" si="29"/>
        <v>0</v>
      </c>
      <c r="EF749" s="1553"/>
      <c r="EG749" s="1553"/>
      <c r="EH749" s="1553"/>
      <c r="EI749" s="1553"/>
      <c r="EJ749" s="1553">
        <f t="shared" si="30"/>
        <v>0</v>
      </c>
      <c r="EK749" s="1553"/>
      <c r="EL749" s="1553"/>
      <c r="EM749" s="1553"/>
      <c r="EN749" s="1553"/>
      <c r="EO749" s="1553">
        <f t="shared" si="31"/>
        <v>0</v>
      </c>
      <c r="EP749" s="1553"/>
      <c r="EQ749" s="1553"/>
      <c r="ER749" s="1553"/>
      <c r="ES749" s="1553"/>
      <c r="ET749" s="1553">
        <f t="shared" si="32"/>
        <v>0</v>
      </c>
      <c r="EU749" s="1553"/>
      <c r="EV749" s="1553"/>
      <c r="EW749" s="1553"/>
      <c r="EX749" s="1553"/>
      <c r="EZ749" s="1559" t="str">
        <f t="shared" si="33"/>
        <v/>
      </c>
      <c r="FA749" s="1560"/>
      <c r="FB749" s="1560"/>
      <c r="FC749" s="1560"/>
      <c r="FD749" s="1561"/>
      <c r="FE749" s="1559" t="str">
        <f t="shared" si="34"/>
        <v/>
      </c>
      <c r="FF749" s="1560"/>
      <c r="FG749" s="1560"/>
      <c r="FH749" s="1560"/>
      <c r="FI749" s="1561"/>
      <c r="FJ749" s="1559" t="str">
        <f t="shared" si="35"/>
        <v/>
      </c>
      <c r="FK749" s="1560"/>
      <c r="FL749" s="1560"/>
      <c r="FM749" s="1560"/>
      <c r="FN749" s="1561"/>
      <c r="FO749" s="1559" t="str">
        <f t="shared" si="36"/>
        <v/>
      </c>
      <c r="FP749" s="1560"/>
      <c r="FQ749" s="1560"/>
      <c r="FR749" s="1560"/>
      <c r="FS749" s="1561"/>
      <c r="FT749" s="1559" t="str">
        <f t="shared" si="37"/>
        <v/>
      </c>
      <c r="FU749" s="1560"/>
      <c r="FV749" s="1560"/>
      <c r="FW749" s="1560"/>
      <c r="FX749" s="1561"/>
      <c r="FY749" s="1559" t="str">
        <f t="shared" si="38"/>
        <v/>
      </c>
      <c r="FZ749" s="1560"/>
      <c r="GA749" s="1560"/>
      <c r="GB749" s="1560"/>
      <c r="GC749" s="1561"/>
    </row>
    <row r="750" spans="1:185" ht="12.9" customHeight="1">
      <c r="B750" s="1368"/>
      <c r="C750" s="1369"/>
      <c r="D750" s="1369"/>
      <c r="E750" s="1369"/>
      <c r="F750" s="1370"/>
      <c r="G750" s="1362"/>
      <c r="H750" s="1363"/>
      <c r="I750" s="1363"/>
      <c r="J750" s="1364"/>
      <c r="K750" s="1365"/>
      <c r="L750" s="1366"/>
      <c r="M750" s="1366"/>
      <c r="N750" s="1367"/>
      <c r="O750" s="1404"/>
      <c r="P750" s="1405"/>
      <c r="Q750" s="1405"/>
      <c r="R750" s="1405"/>
      <c r="S750" s="1406"/>
      <c r="T750" s="1404"/>
      <c r="U750" s="1405"/>
      <c r="V750" s="1405"/>
      <c r="W750" s="1406"/>
      <c r="X750" s="1407">
        <f t="shared" ref="X750:X759" si="42">O750+T750</f>
        <v>0</v>
      </c>
      <c r="Y750" s="1403"/>
      <c r="Z750" s="1403"/>
      <c r="AA750" s="1403"/>
      <c r="AB750" s="1408"/>
      <c r="AC750" s="1409"/>
      <c r="AD750" s="1410"/>
      <c r="AE750" s="1410"/>
      <c r="AF750" s="1410"/>
      <c r="AG750" s="1411"/>
      <c r="AH750" s="1463" t="str">
        <f t="shared" si="39"/>
        <v/>
      </c>
      <c r="AI750" s="1464"/>
      <c r="AJ750" s="1465"/>
      <c r="AK750" s="1368" t="s">
        <v>591</v>
      </c>
      <c r="AL750" s="1369"/>
      <c r="AM750" s="1369"/>
      <c r="AN750" s="1369"/>
      <c r="AO750" s="1370"/>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559">
        <f t="shared" si="40"/>
        <v>0</v>
      </c>
      <c r="CH750" s="1561"/>
      <c r="CI750" s="1693">
        <f t="shared" si="41"/>
        <v>0</v>
      </c>
      <c r="CJ750" s="1694"/>
      <c r="CK750" s="1559">
        <f t="shared" si="19"/>
        <v>0</v>
      </c>
      <c r="CL750" s="1561"/>
      <c r="CM750" s="1693">
        <f t="shared" si="20"/>
        <v>0</v>
      </c>
      <c r="CN750" s="1694"/>
      <c r="CO750" s="3"/>
      <c r="CP750" s="1555">
        <f t="shared" si="21"/>
        <v>0</v>
      </c>
      <c r="CQ750" s="1556"/>
      <c r="CR750" s="1556"/>
      <c r="CS750" s="1556"/>
      <c r="CT750" s="1557"/>
      <c r="CU750" s="1552">
        <f t="shared" si="22"/>
        <v>0</v>
      </c>
      <c r="CV750" s="1552"/>
      <c r="CW750" s="1552"/>
      <c r="CX750" s="1552"/>
      <c r="CY750" s="1552"/>
      <c r="CZ750" s="1552">
        <f t="shared" si="23"/>
        <v>0</v>
      </c>
      <c r="DA750" s="1552"/>
      <c r="DB750" s="1552"/>
      <c r="DC750" s="1552"/>
      <c r="DD750" s="1552"/>
      <c r="DE750" s="1552">
        <f t="shared" si="24"/>
        <v>0</v>
      </c>
      <c r="DF750" s="1552"/>
      <c r="DG750" s="1552"/>
      <c r="DH750" s="1552"/>
      <c r="DI750" s="1552"/>
      <c r="DJ750" s="1552">
        <f t="shared" si="25"/>
        <v>0</v>
      </c>
      <c r="DK750" s="1552"/>
      <c r="DL750" s="1552"/>
      <c r="DM750" s="1552"/>
      <c r="DN750" s="1552"/>
      <c r="DO750" s="1552">
        <f t="shared" si="26"/>
        <v>0</v>
      </c>
      <c r="DP750" s="1552"/>
      <c r="DQ750" s="1552"/>
      <c r="DR750" s="1552"/>
      <c r="DS750" s="1552"/>
      <c r="DT750" s="6"/>
      <c r="DU750" s="1553">
        <f t="shared" si="27"/>
        <v>0</v>
      </c>
      <c r="DV750" s="1553"/>
      <c r="DW750" s="1553"/>
      <c r="DX750" s="1553"/>
      <c r="DY750" s="1553"/>
      <c r="DZ750" s="1553">
        <f t="shared" si="28"/>
        <v>0</v>
      </c>
      <c r="EA750" s="1553"/>
      <c r="EB750" s="1553"/>
      <c r="EC750" s="1553"/>
      <c r="ED750" s="1553"/>
      <c r="EE750" s="1553">
        <f t="shared" si="29"/>
        <v>0</v>
      </c>
      <c r="EF750" s="1553"/>
      <c r="EG750" s="1553"/>
      <c r="EH750" s="1553"/>
      <c r="EI750" s="1553"/>
      <c r="EJ750" s="1553">
        <f t="shared" si="30"/>
        <v>0</v>
      </c>
      <c r="EK750" s="1553"/>
      <c r="EL750" s="1553"/>
      <c r="EM750" s="1553"/>
      <c r="EN750" s="1553"/>
      <c r="EO750" s="1553">
        <f t="shared" si="31"/>
        <v>0</v>
      </c>
      <c r="EP750" s="1553"/>
      <c r="EQ750" s="1553"/>
      <c r="ER750" s="1553"/>
      <c r="ES750" s="1553"/>
      <c r="ET750" s="1553">
        <f t="shared" si="32"/>
        <v>0</v>
      </c>
      <c r="EU750" s="1553"/>
      <c r="EV750" s="1553"/>
      <c r="EW750" s="1553"/>
      <c r="EX750" s="1553"/>
      <c r="EZ750" s="1559" t="str">
        <f t="shared" si="33"/>
        <v/>
      </c>
      <c r="FA750" s="1560"/>
      <c r="FB750" s="1560"/>
      <c r="FC750" s="1560"/>
      <c r="FD750" s="1561"/>
      <c r="FE750" s="1559" t="str">
        <f t="shared" si="34"/>
        <v/>
      </c>
      <c r="FF750" s="1560"/>
      <c r="FG750" s="1560"/>
      <c r="FH750" s="1560"/>
      <c r="FI750" s="1561"/>
      <c r="FJ750" s="1559" t="str">
        <f t="shared" si="35"/>
        <v/>
      </c>
      <c r="FK750" s="1560"/>
      <c r="FL750" s="1560"/>
      <c r="FM750" s="1560"/>
      <c r="FN750" s="1561"/>
      <c r="FO750" s="1559" t="str">
        <f t="shared" si="36"/>
        <v/>
      </c>
      <c r="FP750" s="1560"/>
      <c r="FQ750" s="1560"/>
      <c r="FR750" s="1560"/>
      <c r="FS750" s="1561"/>
      <c r="FT750" s="1559" t="str">
        <f t="shared" si="37"/>
        <v/>
      </c>
      <c r="FU750" s="1560"/>
      <c r="FV750" s="1560"/>
      <c r="FW750" s="1560"/>
      <c r="FX750" s="1561"/>
      <c r="FY750" s="1559" t="str">
        <f t="shared" si="38"/>
        <v/>
      </c>
      <c r="FZ750" s="1560"/>
      <c r="GA750" s="1560"/>
      <c r="GB750" s="1560"/>
      <c r="GC750" s="1561"/>
    </row>
    <row r="751" spans="1:185" s="3" customFormat="1" ht="12.9" customHeight="1">
      <c r="A751"/>
      <c r="B751" s="1368"/>
      <c r="C751" s="1369"/>
      <c r="D751" s="1369"/>
      <c r="E751" s="1369"/>
      <c r="F751" s="1370"/>
      <c r="G751" s="1362"/>
      <c r="H751" s="1363"/>
      <c r="I751" s="1363"/>
      <c r="J751" s="1364"/>
      <c r="K751" s="1365"/>
      <c r="L751" s="1366"/>
      <c r="M751" s="1366"/>
      <c r="N751" s="1367"/>
      <c r="O751" s="1404"/>
      <c r="P751" s="1405"/>
      <c r="Q751" s="1405"/>
      <c r="R751" s="1405"/>
      <c r="S751" s="1406"/>
      <c r="T751" s="1404"/>
      <c r="U751" s="1405"/>
      <c r="V751" s="1405"/>
      <c r="W751" s="1406"/>
      <c r="X751" s="1407">
        <f t="shared" si="42"/>
        <v>0</v>
      </c>
      <c r="Y751" s="1403"/>
      <c r="Z751" s="1403"/>
      <c r="AA751" s="1403"/>
      <c r="AB751" s="1408"/>
      <c r="AC751" s="1409"/>
      <c r="AD751" s="1410"/>
      <c r="AE751" s="1410"/>
      <c r="AF751" s="1410"/>
      <c r="AG751" s="1411"/>
      <c r="AH751" s="1463" t="str">
        <f t="shared" si="39"/>
        <v/>
      </c>
      <c r="AI751" s="1464"/>
      <c r="AJ751" s="1465"/>
      <c r="AK751" s="1368" t="s">
        <v>591</v>
      </c>
      <c r="AL751" s="1369"/>
      <c r="AM751" s="1369"/>
      <c r="AN751" s="1369"/>
      <c r="AO751" s="1370"/>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559">
        <f t="shared" si="40"/>
        <v>0</v>
      </c>
      <c r="CH751" s="1561"/>
      <c r="CI751" s="1693">
        <f t="shared" si="41"/>
        <v>0</v>
      </c>
      <c r="CJ751" s="1694"/>
      <c r="CK751" s="1559">
        <f t="shared" si="19"/>
        <v>0</v>
      </c>
      <c r="CL751" s="1561"/>
      <c r="CM751" s="1693">
        <f t="shared" si="20"/>
        <v>0</v>
      </c>
      <c r="CN751" s="1694"/>
      <c r="CP751" s="1555">
        <f t="shared" si="21"/>
        <v>0</v>
      </c>
      <c r="CQ751" s="1556"/>
      <c r="CR751" s="1556"/>
      <c r="CS751" s="1556"/>
      <c r="CT751" s="1557"/>
      <c r="CU751" s="1552">
        <f t="shared" si="22"/>
        <v>0</v>
      </c>
      <c r="CV751" s="1552"/>
      <c r="CW751" s="1552"/>
      <c r="CX751" s="1552"/>
      <c r="CY751" s="1552"/>
      <c r="CZ751" s="1552">
        <f t="shared" si="23"/>
        <v>0</v>
      </c>
      <c r="DA751" s="1552"/>
      <c r="DB751" s="1552"/>
      <c r="DC751" s="1552"/>
      <c r="DD751" s="1552"/>
      <c r="DE751" s="1552">
        <f t="shared" si="24"/>
        <v>0</v>
      </c>
      <c r="DF751" s="1552"/>
      <c r="DG751" s="1552"/>
      <c r="DH751" s="1552"/>
      <c r="DI751" s="1552"/>
      <c r="DJ751" s="1552">
        <f t="shared" si="25"/>
        <v>0</v>
      </c>
      <c r="DK751" s="1552"/>
      <c r="DL751" s="1552"/>
      <c r="DM751" s="1552"/>
      <c r="DN751" s="1552"/>
      <c r="DO751" s="1552">
        <f t="shared" si="26"/>
        <v>0</v>
      </c>
      <c r="DP751" s="1552"/>
      <c r="DQ751" s="1552"/>
      <c r="DR751" s="1552"/>
      <c r="DS751" s="1552"/>
      <c r="DT751" s="6"/>
      <c r="DU751" s="1553">
        <f t="shared" si="27"/>
        <v>0</v>
      </c>
      <c r="DV751" s="1553"/>
      <c r="DW751" s="1553"/>
      <c r="DX751" s="1553"/>
      <c r="DY751" s="1553"/>
      <c r="DZ751" s="1553">
        <f t="shared" si="28"/>
        <v>0</v>
      </c>
      <c r="EA751" s="1553"/>
      <c r="EB751" s="1553"/>
      <c r="EC751" s="1553"/>
      <c r="ED751" s="1553"/>
      <c r="EE751" s="1553">
        <f t="shared" si="29"/>
        <v>0</v>
      </c>
      <c r="EF751" s="1553"/>
      <c r="EG751" s="1553"/>
      <c r="EH751" s="1553"/>
      <c r="EI751" s="1553"/>
      <c r="EJ751" s="1553">
        <f t="shared" si="30"/>
        <v>0</v>
      </c>
      <c r="EK751" s="1553"/>
      <c r="EL751" s="1553"/>
      <c r="EM751" s="1553"/>
      <c r="EN751" s="1553"/>
      <c r="EO751" s="1553">
        <f t="shared" si="31"/>
        <v>0</v>
      </c>
      <c r="EP751" s="1553"/>
      <c r="EQ751" s="1553"/>
      <c r="ER751" s="1553"/>
      <c r="ES751" s="1553"/>
      <c r="ET751" s="1553">
        <f t="shared" si="32"/>
        <v>0</v>
      </c>
      <c r="EU751" s="1553"/>
      <c r="EV751" s="1553"/>
      <c r="EW751" s="1553"/>
      <c r="EX751" s="1553"/>
      <c r="EY751"/>
      <c r="EZ751" s="1559" t="str">
        <f t="shared" si="33"/>
        <v/>
      </c>
      <c r="FA751" s="1560"/>
      <c r="FB751" s="1560"/>
      <c r="FC751" s="1560"/>
      <c r="FD751" s="1561"/>
      <c r="FE751" s="1559" t="str">
        <f t="shared" si="34"/>
        <v/>
      </c>
      <c r="FF751" s="1560"/>
      <c r="FG751" s="1560"/>
      <c r="FH751" s="1560"/>
      <c r="FI751" s="1561"/>
      <c r="FJ751" s="1559" t="str">
        <f t="shared" si="35"/>
        <v/>
      </c>
      <c r="FK751" s="1560"/>
      <c r="FL751" s="1560"/>
      <c r="FM751" s="1560"/>
      <c r="FN751" s="1561"/>
      <c r="FO751" s="1559" t="str">
        <f t="shared" si="36"/>
        <v/>
      </c>
      <c r="FP751" s="1560"/>
      <c r="FQ751" s="1560"/>
      <c r="FR751" s="1560"/>
      <c r="FS751" s="1561"/>
      <c r="FT751" s="1559" t="str">
        <f t="shared" si="37"/>
        <v/>
      </c>
      <c r="FU751" s="1560"/>
      <c r="FV751" s="1560"/>
      <c r="FW751" s="1560"/>
      <c r="FX751" s="1561"/>
      <c r="FY751" s="1559" t="str">
        <f t="shared" si="38"/>
        <v/>
      </c>
      <c r="FZ751" s="1560"/>
      <c r="GA751" s="1560"/>
      <c r="GB751" s="1560"/>
      <c r="GC751" s="1561"/>
    </row>
    <row r="752" spans="1:185" ht="12.9" customHeight="1">
      <c r="B752" s="1368"/>
      <c r="C752" s="1369"/>
      <c r="D752" s="1369"/>
      <c r="E752" s="1369"/>
      <c r="F752" s="1370"/>
      <c r="G752" s="1362"/>
      <c r="H752" s="1363"/>
      <c r="I752" s="1363"/>
      <c r="J752" s="1364"/>
      <c r="K752" s="1365"/>
      <c r="L752" s="1366"/>
      <c r="M752" s="1366"/>
      <c r="N752" s="1367"/>
      <c r="O752" s="1404"/>
      <c r="P752" s="1405"/>
      <c r="Q752" s="1405"/>
      <c r="R752" s="1405"/>
      <c r="S752" s="1406"/>
      <c r="T752" s="1404"/>
      <c r="U752" s="1405"/>
      <c r="V752" s="1405"/>
      <c r="W752" s="1406"/>
      <c r="X752" s="1407">
        <f t="shared" si="42"/>
        <v>0</v>
      </c>
      <c r="Y752" s="1403"/>
      <c r="Z752" s="1403"/>
      <c r="AA752" s="1403"/>
      <c r="AB752" s="1408"/>
      <c r="AC752" s="1409"/>
      <c r="AD752" s="1410"/>
      <c r="AE752" s="1410"/>
      <c r="AF752" s="1410"/>
      <c r="AG752" s="1411"/>
      <c r="AH752" s="1463" t="str">
        <f t="shared" si="39"/>
        <v/>
      </c>
      <c r="AI752" s="1464"/>
      <c r="AJ752" s="1465"/>
      <c r="AK752" s="1368" t="s">
        <v>591</v>
      </c>
      <c r="AL752" s="1369"/>
      <c r="AM752" s="1369"/>
      <c r="AN752" s="1369"/>
      <c r="AO752" s="1370"/>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559">
        <f t="shared" si="40"/>
        <v>0</v>
      </c>
      <c r="CH752" s="1561"/>
      <c r="CI752" s="1693">
        <f t="shared" si="41"/>
        <v>0</v>
      </c>
      <c r="CJ752" s="1694"/>
      <c r="CK752" s="1559">
        <f t="shared" si="19"/>
        <v>0</v>
      </c>
      <c r="CL752" s="1561"/>
      <c r="CM752" s="1693">
        <f t="shared" si="20"/>
        <v>0</v>
      </c>
      <c r="CN752" s="1694"/>
      <c r="CO752" s="3"/>
      <c r="CP752" s="1555">
        <f t="shared" si="21"/>
        <v>0</v>
      </c>
      <c r="CQ752" s="1556"/>
      <c r="CR752" s="1556"/>
      <c r="CS752" s="1556"/>
      <c r="CT752" s="1557"/>
      <c r="CU752" s="1552">
        <f t="shared" si="22"/>
        <v>0</v>
      </c>
      <c r="CV752" s="1552"/>
      <c r="CW752" s="1552"/>
      <c r="CX752" s="1552"/>
      <c r="CY752" s="1552"/>
      <c r="CZ752" s="1552">
        <f t="shared" si="23"/>
        <v>0</v>
      </c>
      <c r="DA752" s="1552"/>
      <c r="DB752" s="1552"/>
      <c r="DC752" s="1552"/>
      <c r="DD752" s="1552"/>
      <c r="DE752" s="1552">
        <f t="shared" si="24"/>
        <v>0</v>
      </c>
      <c r="DF752" s="1552"/>
      <c r="DG752" s="1552"/>
      <c r="DH752" s="1552"/>
      <c r="DI752" s="1552"/>
      <c r="DJ752" s="1552">
        <f t="shared" si="25"/>
        <v>0</v>
      </c>
      <c r="DK752" s="1552"/>
      <c r="DL752" s="1552"/>
      <c r="DM752" s="1552"/>
      <c r="DN752" s="1552"/>
      <c r="DO752" s="1552">
        <f t="shared" si="26"/>
        <v>0</v>
      </c>
      <c r="DP752" s="1552"/>
      <c r="DQ752" s="1552"/>
      <c r="DR752" s="1552"/>
      <c r="DS752" s="1552"/>
      <c r="DT752" s="6"/>
      <c r="DU752" s="1553">
        <f t="shared" si="27"/>
        <v>0</v>
      </c>
      <c r="DV752" s="1553"/>
      <c r="DW752" s="1553"/>
      <c r="DX752" s="1553"/>
      <c r="DY752" s="1553"/>
      <c r="DZ752" s="1553">
        <f t="shared" si="28"/>
        <v>0</v>
      </c>
      <c r="EA752" s="1553"/>
      <c r="EB752" s="1553"/>
      <c r="EC752" s="1553"/>
      <c r="ED752" s="1553"/>
      <c r="EE752" s="1553">
        <f t="shared" si="29"/>
        <v>0</v>
      </c>
      <c r="EF752" s="1553"/>
      <c r="EG752" s="1553"/>
      <c r="EH752" s="1553"/>
      <c r="EI752" s="1553"/>
      <c r="EJ752" s="1553">
        <f t="shared" si="30"/>
        <v>0</v>
      </c>
      <c r="EK752" s="1553"/>
      <c r="EL752" s="1553"/>
      <c r="EM752" s="1553"/>
      <c r="EN752" s="1553"/>
      <c r="EO752" s="1553">
        <f t="shared" si="31"/>
        <v>0</v>
      </c>
      <c r="EP752" s="1553"/>
      <c r="EQ752" s="1553"/>
      <c r="ER752" s="1553"/>
      <c r="ES752" s="1553"/>
      <c r="ET752" s="1553">
        <f t="shared" si="32"/>
        <v>0</v>
      </c>
      <c r="EU752" s="1553"/>
      <c r="EV752" s="1553"/>
      <c r="EW752" s="1553"/>
      <c r="EX752" s="1553"/>
      <c r="EZ752" s="1559" t="str">
        <f t="shared" si="33"/>
        <v/>
      </c>
      <c r="FA752" s="1560"/>
      <c r="FB752" s="1560"/>
      <c r="FC752" s="1560"/>
      <c r="FD752" s="1561"/>
      <c r="FE752" s="1559" t="str">
        <f t="shared" si="34"/>
        <v/>
      </c>
      <c r="FF752" s="1560"/>
      <c r="FG752" s="1560"/>
      <c r="FH752" s="1560"/>
      <c r="FI752" s="1561"/>
      <c r="FJ752" s="1559" t="str">
        <f t="shared" si="35"/>
        <v/>
      </c>
      <c r="FK752" s="1560"/>
      <c r="FL752" s="1560"/>
      <c r="FM752" s="1560"/>
      <c r="FN752" s="1561"/>
      <c r="FO752" s="1559" t="str">
        <f t="shared" si="36"/>
        <v/>
      </c>
      <c r="FP752" s="1560"/>
      <c r="FQ752" s="1560"/>
      <c r="FR752" s="1560"/>
      <c r="FS752" s="1561"/>
      <c r="FT752" s="1559" t="str">
        <f t="shared" si="37"/>
        <v/>
      </c>
      <c r="FU752" s="1560"/>
      <c r="FV752" s="1560"/>
      <c r="FW752" s="1560"/>
      <c r="FX752" s="1561"/>
      <c r="FY752" s="1559" t="str">
        <f t="shared" si="38"/>
        <v/>
      </c>
      <c r="FZ752" s="1560"/>
      <c r="GA752" s="1560"/>
      <c r="GB752" s="1560"/>
      <c r="GC752" s="1561"/>
    </row>
    <row r="753" spans="1:185" ht="12.9" customHeight="1">
      <c r="B753" s="1368"/>
      <c r="C753" s="1369"/>
      <c r="D753" s="1369"/>
      <c r="E753" s="1369"/>
      <c r="F753" s="1370"/>
      <c r="G753" s="1362"/>
      <c r="H753" s="1363"/>
      <c r="I753" s="1363"/>
      <c r="J753" s="1364"/>
      <c r="K753" s="1365"/>
      <c r="L753" s="1366"/>
      <c r="M753" s="1366"/>
      <c r="N753" s="1367"/>
      <c r="O753" s="1404"/>
      <c r="P753" s="1405"/>
      <c r="Q753" s="1405"/>
      <c r="R753" s="1405"/>
      <c r="S753" s="1406"/>
      <c r="T753" s="1404"/>
      <c r="U753" s="1405"/>
      <c r="V753" s="1405"/>
      <c r="W753" s="1406"/>
      <c r="X753" s="1407">
        <f t="shared" si="42"/>
        <v>0</v>
      </c>
      <c r="Y753" s="1403"/>
      <c r="Z753" s="1403"/>
      <c r="AA753" s="1403"/>
      <c r="AB753" s="1408"/>
      <c r="AC753" s="1409"/>
      <c r="AD753" s="1410"/>
      <c r="AE753" s="1410"/>
      <c r="AF753" s="1410"/>
      <c r="AG753" s="1411"/>
      <c r="AH753" s="1463" t="str">
        <f t="shared" si="39"/>
        <v/>
      </c>
      <c r="AI753" s="1464"/>
      <c r="AJ753" s="1465"/>
      <c r="AK753" s="1368" t="s">
        <v>591</v>
      </c>
      <c r="AL753" s="1369"/>
      <c r="AM753" s="1369"/>
      <c r="AN753" s="1369"/>
      <c r="AO753" s="1370"/>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559">
        <f t="shared" si="40"/>
        <v>0</v>
      </c>
      <c r="CH753" s="1561"/>
      <c r="CI753" s="1693">
        <f t="shared" si="41"/>
        <v>0</v>
      </c>
      <c r="CJ753" s="1694"/>
      <c r="CK753" s="1559">
        <f t="shared" si="19"/>
        <v>0</v>
      </c>
      <c r="CL753" s="1561"/>
      <c r="CM753" s="1693">
        <f t="shared" si="20"/>
        <v>0</v>
      </c>
      <c r="CN753" s="1694"/>
      <c r="CO753" s="3"/>
      <c r="CP753" s="1555">
        <f t="shared" si="21"/>
        <v>0</v>
      </c>
      <c r="CQ753" s="1556"/>
      <c r="CR753" s="1556"/>
      <c r="CS753" s="1556"/>
      <c r="CT753" s="1557"/>
      <c r="CU753" s="1552">
        <f t="shared" si="22"/>
        <v>0</v>
      </c>
      <c r="CV753" s="1552"/>
      <c r="CW753" s="1552"/>
      <c r="CX753" s="1552"/>
      <c r="CY753" s="1552"/>
      <c r="CZ753" s="1552">
        <f t="shared" si="23"/>
        <v>0</v>
      </c>
      <c r="DA753" s="1552"/>
      <c r="DB753" s="1552"/>
      <c r="DC753" s="1552"/>
      <c r="DD753" s="1552"/>
      <c r="DE753" s="1552">
        <f t="shared" si="24"/>
        <v>0</v>
      </c>
      <c r="DF753" s="1552"/>
      <c r="DG753" s="1552"/>
      <c r="DH753" s="1552"/>
      <c r="DI753" s="1552"/>
      <c r="DJ753" s="1552">
        <f t="shared" si="25"/>
        <v>0</v>
      </c>
      <c r="DK753" s="1552"/>
      <c r="DL753" s="1552"/>
      <c r="DM753" s="1552"/>
      <c r="DN753" s="1552"/>
      <c r="DO753" s="1552">
        <f t="shared" si="26"/>
        <v>0</v>
      </c>
      <c r="DP753" s="1552"/>
      <c r="DQ753" s="1552"/>
      <c r="DR753" s="1552"/>
      <c r="DS753" s="1552"/>
      <c r="DT753" s="6"/>
      <c r="DU753" s="1553">
        <f t="shared" si="27"/>
        <v>0</v>
      </c>
      <c r="DV753" s="1553"/>
      <c r="DW753" s="1553"/>
      <c r="DX753" s="1553"/>
      <c r="DY753" s="1553"/>
      <c r="DZ753" s="1553">
        <f t="shared" si="28"/>
        <v>0</v>
      </c>
      <c r="EA753" s="1553"/>
      <c r="EB753" s="1553"/>
      <c r="EC753" s="1553"/>
      <c r="ED753" s="1553"/>
      <c r="EE753" s="1553">
        <f t="shared" si="29"/>
        <v>0</v>
      </c>
      <c r="EF753" s="1553"/>
      <c r="EG753" s="1553"/>
      <c r="EH753" s="1553"/>
      <c r="EI753" s="1553"/>
      <c r="EJ753" s="1553">
        <f t="shared" si="30"/>
        <v>0</v>
      </c>
      <c r="EK753" s="1553"/>
      <c r="EL753" s="1553"/>
      <c r="EM753" s="1553"/>
      <c r="EN753" s="1553"/>
      <c r="EO753" s="1553">
        <f t="shared" si="31"/>
        <v>0</v>
      </c>
      <c r="EP753" s="1553"/>
      <c r="EQ753" s="1553"/>
      <c r="ER753" s="1553"/>
      <c r="ES753" s="1553"/>
      <c r="ET753" s="1553">
        <f t="shared" si="32"/>
        <v>0</v>
      </c>
      <c r="EU753" s="1553"/>
      <c r="EV753" s="1553"/>
      <c r="EW753" s="1553"/>
      <c r="EX753" s="1553"/>
      <c r="EZ753" s="1559" t="str">
        <f t="shared" si="33"/>
        <v/>
      </c>
      <c r="FA753" s="1560"/>
      <c r="FB753" s="1560"/>
      <c r="FC753" s="1560"/>
      <c r="FD753" s="1561"/>
      <c r="FE753" s="1559" t="str">
        <f t="shared" si="34"/>
        <v/>
      </c>
      <c r="FF753" s="1560"/>
      <c r="FG753" s="1560"/>
      <c r="FH753" s="1560"/>
      <c r="FI753" s="1561"/>
      <c r="FJ753" s="1559" t="str">
        <f t="shared" si="35"/>
        <v/>
      </c>
      <c r="FK753" s="1560"/>
      <c r="FL753" s="1560"/>
      <c r="FM753" s="1560"/>
      <c r="FN753" s="1561"/>
      <c r="FO753" s="1559" t="str">
        <f t="shared" si="36"/>
        <v/>
      </c>
      <c r="FP753" s="1560"/>
      <c r="FQ753" s="1560"/>
      <c r="FR753" s="1560"/>
      <c r="FS753" s="1561"/>
      <c r="FT753" s="1559" t="str">
        <f t="shared" si="37"/>
        <v/>
      </c>
      <c r="FU753" s="1560"/>
      <c r="FV753" s="1560"/>
      <c r="FW753" s="1560"/>
      <c r="FX753" s="1561"/>
      <c r="FY753" s="1559" t="str">
        <f t="shared" si="38"/>
        <v/>
      </c>
      <c r="FZ753" s="1560"/>
      <c r="GA753" s="1560"/>
      <c r="GB753" s="1560"/>
      <c r="GC753" s="1561"/>
    </row>
    <row r="754" spans="1:185" ht="12.9" customHeight="1">
      <c r="B754" s="1368"/>
      <c r="C754" s="1369"/>
      <c r="D754" s="1369"/>
      <c r="E754" s="1369"/>
      <c r="F754" s="1370"/>
      <c r="G754" s="1362"/>
      <c r="H754" s="1363"/>
      <c r="I754" s="1363"/>
      <c r="J754" s="1364"/>
      <c r="K754" s="1365"/>
      <c r="L754" s="1366"/>
      <c r="M754" s="1366"/>
      <c r="N754" s="1367"/>
      <c r="O754" s="1404"/>
      <c r="P754" s="1405"/>
      <c r="Q754" s="1405"/>
      <c r="R754" s="1405"/>
      <c r="S754" s="1406"/>
      <c r="T754" s="1404"/>
      <c r="U754" s="1405"/>
      <c r="V754" s="1405"/>
      <c r="W754" s="1406"/>
      <c r="X754" s="1407">
        <f t="shared" si="42"/>
        <v>0</v>
      </c>
      <c r="Y754" s="1403"/>
      <c r="Z754" s="1403"/>
      <c r="AA754" s="1403"/>
      <c r="AB754" s="1408"/>
      <c r="AC754" s="1409"/>
      <c r="AD754" s="1410"/>
      <c r="AE754" s="1410"/>
      <c r="AF754" s="1410"/>
      <c r="AG754" s="1411"/>
      <c r="AH754" s="1463" t="str">
        <f t="shared" si="39"/>
        <v/>
      </c>
      <c r="AI754" s="1464"/>
      <c r="AJ754" s="1465"/>
      <c r="AK754" s="1368" t="s">
        <v>591</v>
      </c>
      <c r="AL754" s="1369"/>
      <c r="AM754" s="1369"/>
      <c r="AN754" s="1369"/>
      <c r="AO754" s="1370"/>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559">
        <f t="shared" si="40"/>
        <v>0</v>
      </c>
      <c r="CH754" s="1561"/>
      <c r="CI754" s="1693">
        <f t="shared" si="41"/>
        <v>0</v>
      </c>
      <c r="CJ754" s="1694"/>
      <c r="CK754" s="1559">
        <f t="shared" si="19"/>
        <v>0</v>
      </c>
      <c r="CL754" s="1561"/>
      <c r="CM754" s="1693">
        <f t="shared" si="20"/>
        <v>0</v>
      </c>
      <c r="CN754" s="1694"/>
      <c r="CO754" s="3"/>
      <c r="CP754" s="1555">
        <f t="shared" si="21"/>
        <v>0</v>
      </c>
      <c r="CQ754" s="1556"/>
      <c r="CR754" s="1556"/>
      <c r="CS754" s="1556"/>
      <c r="CT754" s="1557"/>
      <c r="CU754" s="1552">
        <f t="shared" si="22"/>
        <v>0</v>
      </c>
      <c r="CV754" s="1552"/>
      <c r="CW754" s="1552"/>
      <c r="CX754" s="1552"/>
      <c r="CY754" s="1552"/>
      <c r="CZ754" s="1552">
        <f t="shared" si="23"/>
        <v>0</v>
      </c>
      <c r="DA754" s="1552"/>
      <c r="DB754" s="1552"/>
      <c r="DC754" s="1552"/>
      <c r="DD754" s="1552"/>
      <c r="DE754" s="1552">
        <f t="shared" si="24"/>
        <v>0</v>
      </c>
      <c r="DF754" s="1552"/>
      <c r="DG754" s="1552"/>
      <c r="DH754" s="1552"/>
      <c r="DI754" s="1552"/>
      <c r="DJ754" s="1552">
        <f t="shared" si="25"/>
        <v>0</v>
      </c>
      <c r="DK754" s="1552"/>
      <c r="DL754" s="1552"/>
      <c r="DM754" s="1552"/>
      <c r="DN754" s="1552"/>
      <c r="DO754" s="1552">
        <f t="shared" si="26"/>
        <v>0</v>
      </c>
      <c r="DP754" s="1552"/>
      <c r="DQ754" s="1552"/>
      <c r="DR754" s="1552"/>
      <c r="DS754" s="1552"/>
      <c r="DT754" s="6"/>
      <c r="DU754" s="1553">
        <f t="shared" si="27"/>
        <v>0</v>
      </c>
      <c r="DV754" s="1553"/>
      <c r="DW754" s="1553"/>
      <c r="DX754" s="1553"/>
      <c r="DY754" s="1553"/>
      <c r="DZ754" s="1553">
        <f t="shared" si="28"/>
        <v>0</v>
      </c>
      <c r="EA754" s="1553"/>
      <c r="EB754" s="1553"/>
      <c r="EC754" s="1553"/>
      <c r="ED754" s="1553"/>
      <c r="EE754" s="1553">
        <f t="shared" si="29"/>
        <v>0</v>
      </c>
      <c r="EF754" s="1553"/>
      <c r="EG754" s="1553"/>
      <c r="EH754" s="1553"/>
      <c r="EI754" s="1553"/>
      <c r="EJ754" s="1553">
        <f t="shared" si="30"/>
        <v>0</v>
      </c>
      <c r="EK754" s="1553"/>
      <c r="EL754" s="1553"/>
      <c r="EM754" s="1553"/>
      <c r="EN754" s="1553"/>
      <c r="EO754" s="1553">
        <f t="shared" si="31"/>
        <v>0</v>
      </c>
      <c r="EP754" s="1553"/>
      <c r="EQ754" s="1553"/>
      <c r="ER754" s="1553"/>
      <c r="ES754" s="1553"/>
      <c r="ET754" s="1553">
        <f t="shared" si="32"/>
        <v>0</v>
      </c>
      <c r="EU754" s="1553"/>
      <c r="EV754" s="1553"/>
      <c r="EW754" s="1553"/>
      <c r="EX754" s="1553"/>
      <c r="EZ754" s="1559" t="str">
        <f t="shared" si="33"/>
        <v/>
      </c>
      <c r="FA754" s="1560"/>
      <c r="FB754" s="1560"/>
      <c r="FC754" s="1560"/>
      <c r="FD754" s="1561"/>
      <c r="FE754" s="1559" t="str">
        <f t="shared" si="34"/>
        <v/>
      </c>
      <c r="FF754" s="1560"/>
      <c r="FG754" s="1560"/>
      <c r="FH754" s="1560"/>
      <c r="FI754" s="1561"/>
      <c r="FJ754" s="1559" t="str">
        <f t="shared" si="35"/>
        <v/>
      </c>
      <c r="FK754" s="1560"/>
      <c r="FL754" s="1560"/>
      <c r="FM754" s="1560"/>
      <c r="FN754" s="1561"/>
      <c r="FO754" s="1559" t="str">
        <f t="shared" si="36"/>
        <v/>
      </c>
      <c r="FP754" s="1560"/>
      <c r="FQ754" s="1560"/>
      <c r="FR754" s="1560"/>
      <c r="FS754" s="1561"/>
      <c r="FT754" s="1559" t="str">
        <f t="shared" si="37"/>
        <v/>
      </c>
      <c r="FU754" s="1560"/>
      <c r="FV754" s="1560"/>
      <c r="FW754" s="1560"/>
      <c r="FX754" s="1561"/>
      <c r="FY754" s="1559" t="str">
        <f t="shared" si="38"/>
        <v/>
      </c>
      <c r="FZ754" s="1560"/>
      <c r="GA754" s="1560"/>
      <c r="GB754" s="1560"/>
      <c r="GC754" s="1561"/>
    </row>
    <row r="755" spans="1:185" ht="12.9" customHeight="1">
      <c r="B755" s="1368"/>
      <c r="C755" s="1369"/>
      <c r="D755" s="1369"/>
      <c r="E755" s="1369"/>
      <c r="F755" s="1370"/>
      <c r="G755" s="1362"/>
      <c r="H755" s="1363"/>
      <c r="I755" s="1363"/>
      <c r="J755" s="1364"/>
      <c r="K755" s="1365"/>
      <c r="L755" s="1366"/>
      <c r="M755" s="1366"/>
      <c r="N755" s="1367"/>
      <c r="O755" s="1404"/>
      <c r="P755" s="1405"/>
      <c r="Q755" s="1405"/>
      <c r="R755" s="1405"/>
      <c r="S755" s="1406"/>
      <c r="T755" s="1404"/>
      <c r="U755" s="1405"/>
      <c r="V755" s="1405"/>
      <c r="W755" s="1406"/>
      <c r="X755" s="1407">
        <f t="shared" si="42"/>
        <v>0</v>
      </c>
      <c r="Y755" s="1403"/>
      <c r="Z755" s="1403"/>
      <c r="AA755" s="1403"/>
      <c r="AB755" s="1408"/>
      <c r="AC755" s="1409"/>
      <c r="AD755" s="1410"/>
      <c r="AE755" s="1410"/>
      <c r="AF755" s="1410"/>
      <c r="AG755" s="1411"/>
      <c r="AH755" s="1463" t="str">
        <f t="shared" si="39"/>
        <v/>
      </c>
      <c r="AI755" s="1464"/>
      <c r="AJ755" s="1465"/>
      <c r="AK755" s="1368" t="s">
        <v>591</v>
      </c>
      <c r="AL755" s="1369"/>
      <c r="AM755" s="1369"/>
      <c r="AN755" s="1369"/>
      <c r="AO755" s="1370"/>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559">
        <f t="shared" si="40"/>
        <v>0</v>
      </c>
      <c r="CH755" s="1561"/>
      <c r="CI755" s="1693">
        <f t="shared" si="41"/>
        <v>0</v>
      </c>
      <c r="CJ755" s="1694"/>
      <c r="CK755" s="1559">
        <f t="shared" si="19"/>
        <v>0</v>
      </c>
      <c r="CL755" s="1561"/>
      <c r="CM755" s="1693">
        <f t="shared" si="20"/>
        <v>0</v>
      </c>
      <c r="CN755" s="1694"/>
      <c r="CO755" s="3"/>
      <c r="CP755" s="1555">
        <f t="shared" si="21"/>
        <v>0</v>
      </c>
      <c r="CQ755" s="1556"/>
      <c r="CR755" s="1556"/>
      <c r="CS755" s="1556"/>
      <c r="CT755" s="1557"/>
      <c r="CU755" s="1552">
        <f t="shared" si="22"/>
        <v>0</v>
      </c>
      <c r="CV755" s="1552"/>
      <c r="CW755" s="1552"/>
      <c r="CX755" s="1552"/>
      <c r="CY755" s="1552"/>
      <c r="CZ755" s="1552">
        <f t="shared" si="23"/>
        <v>0</v>
      </c>
      <c r="DA755" s="1552"/>
      <c r="DB755" s="1552"/>
      <c r="DC755" s="1552"/>
      <c r="DD755" s="1552"/>
      <c r="DE755" s="1552">
        <f t="shared" si="24"/>
        <v>0</v>
      </c>
      <c r="DF755" s="1552"/>
      <c r="DG755" s="1552"/>
      <c r="DH755" s="1552"/>
      <c r="DI755" s="1552"/>
      <c r="DJ755" s="1552">
        <f t="shared" si="25"/>
        <v>0</v>
      </c>
      <c r="DK755" s="1552"/>
      <c r="DL755" s="1552"/>
      <c r="DM755" s="1552"/>
      <c r="DN755" s="1552"/>
      <c r="DO755" s="1552">
        <f t="shared" si="26"/>
        <v>0</v>
      </c>
      <c r="DP755" s="1552"/>
      <c r="DQ755" s="1552"/>
      <c r="DR755" s="1552"/>
      <c r="DS755" s="1552"/>
      <c r="DT755" s="6"/>
      <c r="DU755" s="1553">
        <f t="shared" si="27"/>
        <v>0</v>
      </c>
      <c r="DV755" s="1553"/>
      <c r="DW755" s="1553"/>
      <c r="DX755" s="1553"/>
      <c r="DY755" s="1553"/>
      <c r="DZ755" s="1553">
        <f t="shared" si="28"/>
        <v>0</v>
      </c>
      <c r="EA755" s="1553"/>
      <c r="EB755" s="1553"/>
      <c r="EC755" s="1553"/>
      <c r="ED755" s="1553"/>
      <c r="EE755" s="1553">
        <f t="shared" si="29"/>
        <v>0</v>
      </c>
      <c r="EF755" s="1553"/>
      <c r="EG755" s="1553"/>
      <c r="EH755" s="1553"/>
      <c r="EI755" s="1553"/>
      <c r="EJ755" s="1553">
        <f t="shared" si="30"/>
        <v>0</v>
      </c>
      <c r="EK755" s="1553"/>
      <c r="EL755" s="1553"/>
      <c r="EM755" s="1553"/>
      <c r="EN755" s="1553"/>
      <c r="EO755" s="1553">
        <f t="shared" si="31"/>
        <v>0</v>
      </c>
      <c r="EP755" s="1553"/>
      <c r="EQ755" s="1553"/>
      <c r="ER755" s="1553"/>
      <c r="ES755" s="1553"/>
      <c r="ET755" s="1553">
        <f t="shared" si="32"/>
        <v>0</v>
      </c>
      <c r="EU755" s="1553"/>
      <c r="EV755" s="1553"/>
      <c r="EW755" s="1553"/>
      <c r="EX755" s="1553"/>
      <c r="EZ755" s="1559" t="str">
        <f t="shared" si="33"/>
        <v/>
      </c>
      <c r="FA755" s="1560"/>
      <c r="FB755" s="1560"/>
      <c r="FC755" s="1560"/>
      <c r="FD755" s="1561"/>
      <c r="FE755" s="1559" t="str">
        <f t="shared" si="34"/>
        <v/>
      </c>
      <c r="FF755" s="1560"/>
      <c r="FG755" s="1560"/>
      <c r="FH755" s="1560"/>
      <c r="FI755" s="1561"/>
      <c r="FJ755" s="1559" t="str">
        <f t="shared" si="35"/>
        <v/>
      </c>
      <c r="FK755" s="1560"/>
      <c r="FL755" s="1560"/>
      <c r="FM755" s="1560"/>
      <c r="FN755" s="1561"/>
      <c r="FO755" s="1559" t="str">
        <f t="shared" si="36"/>
        <v/>
      </c>
      <c r="FP755" s="1560"/>
      <c r="FQ755" s="1560"/>
      <c r="FR755" s="1560"/>
      <c r="FS755" s="1561"/>
      <c r="FT755" s="1559" t="str">
        <f t="shared" si="37"/>
        <v/>
      </c>
      <c r="FU755" s="1560"/>
      <c r="FV755" s="1560"/>
      <c r="FW755" s="1560"/>
      <c r="FX755" s="1561"/>
      <c r="FY755" s="1559" t="str">
        <f t="shared" si="38"/>
        <v/>
      </c>
      <c r="FZ755" s="1560"/>
      <c r="GA755" s="1560"/>
      <c r="GB755" s="1560"/>
      <c r="GC755" s="1561"/>
    </row>
    <row r="756" spans="1:185" s="3" customFormat="1" ht="12.9" customHeight="1">
      <c r="A756"/>
      <c r="B756" s="1368"/>
      <c r="C756" s="1369"/>
      <c r="D756" s="1369"/>
      <c r="E756" s="1369"/>
      <c r="F756" s="1370"/>
      <c r="G756" s="1362"/>
      <c r="H756" s="1363"/>
      <c r="I756" s="1363"/>
      <c r="J756" s="1364"/>
      <c r="K756" s="1365"/>
      <c r="L756" s="1366"/>
      <c r="M756" s="1366"/>
      <c r="N756" s="1367"/>
      <c r="O756" s="1404"/>
      <c r="P756" s="1405"/>
      <c r="Q756" s="1405"/>
      <c r="R756" s="1405"/>
      <c r="S756" s="1406"/>
      <c r="T756" s="1404"/>
      <c r="U756" s="1405"/>
      <c r="V756" s="1405"/>
      <c r="W756" s="1406"/>
      <c r="X756" s="1407">
        <f t="shared" si="42"/>
        <v>0</v>
      </c>
      <c r="Y756" s="1403"/>
      <c r="Z756" s="1403"/>
      <c r="AA756" s="1403"/>
      <c r="AB756" s="1408"/>
      <c r="AC756" s="1409"/>
      <c r="AD756" s="1410"/>
      <c r="AE756" s="1410"/>
      <c r="AF756" s="1410"/>
      <c r="AG756" s="1411"/>
      <c r="AH756" s="1463" t="str">
        <f t="shared" si="39"/>
        <v/>
      </c>
      <c r="AI756" s="1464"/>
      <c r="AJ756" s="1465"/>
      <c r="AK756" s="1368" t="s">
        <v>591</v>
      </c>
      <c r="AL756" s="1369"/>
      <c r="AM756" s="1369"/>
      <c r="AN756" s="1369"/>
      <c r="AO756" s="1370"/>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559">
        <f t="shared" si="40"/>
        <v>0</v>
      </c>
      <c r="CH756" s="1561"/>
      <c r="CI756" s="1693">
        <f t="shared" si="41"/>
        <v>0</v>
      </c>
      <c r="CJ756" s="1694"/>
      <c r="CK756" s="1559">
        <f t="shared" si="19"/>
        <v>0</v>
      </c>
      <c r="CL756" s="1561"/>
      <c r="CM756" s="1693">
        <f t="shared" si="20"/>
        <v>0</v>
      </c>
      <c r="CN756" s="1694"/>
      <c r="CP756" s="1555">
        <f t="shared" si="21"/>
        <v>0</v>
      </c>
      <c r="CQ756" s="1556"/>
      <c r="CR756" s="1556"/>
      <c r="CS756" s="1556"/>
      <c r="CT756" s="1557"/>
      <c r="CU756" s="1552">
        <f t="shared" si="22"/>
        <v>0</v>
      </c>
      <c r="CV756" s="1552"/>
      <c r="CW756" s="1552"/>
      <c r="CX756" s="1552"/>
      <c r="CY756" s="1552"/>
      <c r="CZ756" s="1552">
        <f t="shared" si="23"/>
        <v>0</v>
      </c>
      <c r="DA756" s="1552"/>
      <c r="DB756" s="1552"/>
      <c r="DC756" s="1552"/>
      <c r="DD756" s="1552"/>
      <c r="DE756" s="1552">
        <f t="shared" si="24"/>
        <v>0</v>
      </c>
      <c r="DF756" s="1552"/>
      <c r="DG756" s="1552"/>
      <c r="DH756" s="1552"/>
      <c r="DI756" s="1552"/>
      <c r="DJ756" s="1552">
        <f t="shared" si="25"/>
        <v>0</v>
      </c>
      <c r="DK756" s="1552"/>
      <c r="DL756" s="1552"/>
      <c r="DM756" s="1552"/>
      <c r="DN756" s="1552"/>
      <c r="DO756" s="1552">
        <f t="shared" si="26"/>
        <v>0</v>
      </c>
      <c r="DP756" s="1552"/>
      <c r="DQ756" s="1552"/>
      <c r="DR756" s="1552"/>
      <c r="DS756" s="1552"/>
      <c r="DT756" s="6"/>
      <c r="DU756" s="1553">
        <f t="shared" si="27"/>
        <v>0</v>
      </c>
      <c r="DV756" s="1553"/>
      <c r="DW756" s="1553"/>
      <c r="DX756" s="1553"/>
      <c r="DY756" s="1553"/>
      <c r="DZ756" s="1553">
        <f t="shared" si="28"/>
        <v>0</v>
      </c>
      <c r="EA756" s="1553"/>
      <c r="EB756" s="1553"/>
      <c r="EC756" s="1553"/>
      <c r="ED756" s="1553"/>
      <c r="EE756" s="1553">
        <f t="shared" si="29"/>
        <v>0</v>
      </c>
      <c r="EF756" s="1553"/>
      <c r="EG756" s="1553"/>
      <c r="EH756" s="1553"/>
      <c r="EI756" s="1553"/>
      <c r="EJ756" s="1553">
        <f t="shared" si="30"/>
        <v>0</v>
      </c>
      <c r="EK756" s="1553"/>
      <c r="EL756" s="1553"/>
      <c r="EM756" s="1553"/>
      <c r="EN756" s="1553"/>
      <c r="EO756" s="1553">
        <f t="shared" si="31"/>
        <v>0</v>
      </c>
      <c r="EP756" s="1553"/>
      <c r="EQ756" s="1553"/>
      <c r="ER756" s="1553"/>
      <c r="ES756" s="1553"/>
      <c r="ET756" s="1553">
        <f t="shared" si="32"/>
        <v>0</v>
      </c>
      <c r="EU756" s="1553"/>
      <c r="EV756" s="1553"/>
      <c r="EW756" s="1553"/>
      <c r="EX756" s="1553"/>
      <c r="EY756"/>
      <c r="EZ756" s="1559" t="str">
        <f t="shared" si="33"/>
        <v/>
      </c>
      <c r="FA756" s="1560"/>
      <c r="FB756" s="1560"/>
      <c r="FC756" s="1560"/>
      <c r="FD756" s="1561"/>
      <c r="FE756" s="1559" t="str">
        <f t="shared" si="34"/>
        <v/>
      </c>
      <c r="FF756" s="1560"/>
      <c r="FG756" s="1560"/>
      <c r="FH756" s="1560"/>
      <c r="FI756" s="1561"/>
      <c r="FJ756" s="1559" t="str">
        <f t="shared" si="35"/>
        <v/>
      </c>
      <c r="FK756" s="1560"/>
      <c r="FL756" s="1560"/>
      <c r="FM756" s="1560"/>
      <c r="FN756" s="1561"/>
      <c r="FO756" s="1559" t="str">
        <f t="shared" si="36"/>
        <v/>
      </c>
      <c r="FP756" s="1560"/>
      <c r="FQ756" s="1560"/>
      <c r="FR756" s="1560"/>
      <c r="FS756" s="1561"/>
      <c r="FT756" s="1559" t="str">
        <f t="shared" si="37"/>
        <v/>
      </c>
      <c r="FU756" s="1560"/>
      <c r="FV756" s="1560"/>
      <c r="FW756" s="1560"/>
      <c r="FX756" s="1561"/>
      <c r="FY756" s="1559" t="str">
        <f t="shared" si="38"/>
        <v/>
      </c>
      <c r="FZ756" s="1560"/>
      <c r="GA756" s="1560"/>
      <c r="GB756" s="1560"/>
      <c r="GC756" s="1561"/>
    </row>
    <row r="757" spans="1:185" s="3" customFormat="1" ht="12.9" customHeight="1">
      <c r="A757"/>
      <c r="B757" s="1368"/>
      <c r="C757" s="1369"/>
      <c r="D757" s="1369"/>
      <c r="E757" s="1369"/>
      <c r="F757" s="1370"/>
      <c r="G757" s="1362"/>
      <c r="H757" s="1363"/>
      <c r="I757" s="1363"/>
      <c r="J757" s="1364"/>
      <c r="K757" s="1365"/>
      <c r="L757" s="1366"/>
      <c r="M757" s="1366"/>
      <c r="N757" s="1367"/>
      <c r="O757" s="1404"/>
      <c r="P757" s="1405"/>
      <c r="Q757" s="1405"/>
      <c r="R757" s="1405"/>
      <c r="S757" s="1406"/>
      <c r="T757" s="1404"/>
      <c r="U757" s="1405"/>
      <c r="V757" s="1405"/>
      <c r="W757" s="1406"/>
      <c r="X757" s="1407">
        <f t="shared" si="42"/>
        <v>0</v>
      </c>
      <c r="Y757" s="1403"/>
      <c r="Z757" s="1403"/>
      <c r="AA757" s="1403"/>
      <c r="AB757" s="1408"/>
      <c r="AC757" s="1409"/>
      <c r="AD757" s="1410"/>
      <c r="AE757" s="1410"/>
      <c r="AF757" s="1410"/>
      <c r="AG757" s="1411"/>
      <c r="AH757" s="1463" t="str">
        <f t="shared" si="39"/>
        <v/>
      </c>
      <c r="AI757" s="1464"/>
      <c r="AJ757" s="1465"/>
      <c r="AK757" s="1368" t="s">
        <v>591</v>
      </c>
      <c r="AL757" s="1369"/>
      <c r="AM757" s="1369"/>
      <c r="AN757" s="1369"/>
      <c r="AO757" s="1370"/>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559">
        <f t="shared" si="40"/>
        <v>0</v>
      </c>
      <c r="CH757" s="1561"/>
      <c r="CI757" s="1693">
        <f t="shared" si="41"/>
        <v>0</v>
      </c>
      <c r="CJ757" s="1694"/>
      <c r="CK757" s="1559">
        <f t="shared" si="19"/>
        <v>0</v>
      </c>
      <c r="CL757" s="1561"/>
      <c r="CM757" s="1693">
        <f t="shared" si="20"/>
        <v>0</v>
      </c>
      <c r="CN757" s="1694"/>
      <c r="CP757" s="1555">
        <f t="shared" si="21"/>
        <v>0</v>
      </c>
      <c r="CQ757" s="1556"/>
      <c r="CR757" s="1556"/>
      <c r="CS757" s="1556"/>
      <c r="CT757" s="1557"/>
      <c r="CU757" s="1552">
        <f t="shared" si="22"/>
        <v>0</v>
      </c>
      <c r="CV757" s="1552"/>
      <c r="CW757" s="1552"/>
      <c r="CX757" s="1552"/>
      <c r="CY757" s="1552"/>
      <c r="CZ757" s="1552">
        <f t="shared" si="23"/>
        <v>0</v>
      </c>
      <c r="DA757" s="1552"/>
      <c r="DB757" s="1552"/>
      <c r="DC757" s="1552"/>
      <c r="DD757" s="1552"/>
      <c r="DE757" s="1552">
        <f t="shared" si="24"/>
        <v>0</v>
      </c>
      <c r="DF757" s="1552"/>
      <c r="DG757" s="1552"/>
      <c r="DH757" s="1552"/>
      <c r="DI757" s="1552"/>
      <c r="DJ757" s="1552">
        <f t="shared" si="25"/>
        <v>0</v>
      </c>
      <c r="DK757" s="1552"/>
      <c r="DL757" s="1552"/>
      <c r="DM757" s="1552"/>
      <c r="DN757" s="1552"/>
      <c r="DO757" s="1552">
        <f t="shared" si="26"/>
        <v>0</v>
      </c>
      <c r="DP757" s="1552"/>
      <c r="DQ757" s="1552"/>
      <c r="DR757" s="1552"/>
      <c r="DS757" s="1552"/>
      <c r="DT757" s="6"/>
      <c r="DU757" s="1553">
        <f t="shared" si="27"/>
        <v>0</v>
      </c>
      <c r="DV757" s="1553"/>
      <c r="DW757" s="1553"/>
      <c r="DX757" s="1553"/>
      <c r="DY757" s="1553"/>
      <c r="DZ757" s="1553">
        <f t="shared" si="28"/>
        <v>0</v>
      </c>
      <c r="EA757" s="1553"/>
      <c r="EB757" s="1553"/>
      <c r="EC757" s="1553"/>
      <c r="ED757" s="1553"/>
      <c r="EE757" s="1553">
        <f t="shared" si="29"/>
        <v>0</v>
      </c>
      <c r="EF757" s="1553"/>
      <c r="EG757" s="1553"/>
      <c r="EH757" s="1553"/>
      <c r="EI757" s="1553"/>
      <c r="EJ757" s="1553">
        <f t="shared" si="30"/>
        <v>0</v>
      </c>
      <c r="EK757" s="1553"/>
      <c r="EL757" s="1553"/>
      <c r="EM757" s="1553"/>
      <c r="EN757" s="1553"/>
      <c r="EO757" s="1553">
        <f t="shared" si="31"/>
        <v>0</v>
      </c>
      <c r="EP757" s="1553"/>
      <c r="EQ757" s="1553"/>
      <c r="ER757" s="1553"/>
      <c r="ES757" s="1553"/>
      <c r="ET757" s="1553">
        <f t="shared" si="32"/>
        <v>0</v>
      </c>
      <c r="EU757" s="1553"/>
      <c r="EV757" s="1553"/>
      <c r="EW757" s="1553"/>
      <c r="EX757" s="1553"/>
      <c r="EY757"/>
      <c r="EZ757" s="1559" t="str">
        <f t="shared" si="33"/>
        <v/>
      </c>
      <c r="FA757" s="1560"/>
      <c r="FB757" s="1560"/>
      <c r="FC757" s="1560"/>
      <c r="FD757" s="1561"/>
      <c r="FE757" s="1559" t="str">
        <f t="shared" si="34"/>
        <v/>
      </c>
      <c r="FF757" s="1560"/>
      <c r="FG757" s="1560"/>
      <c r="FH757" s="1560"/>
      <c r="FI757" s="1561"/>
      <c r="FJ757" s="1559" t="str">
        <f t="shared" si="35"/>
        <v/>
      </c>
      <c r="FK757" s="1560"/>
      <c r="FL757" s="1560"/>
      <c r="FM757" s="1560"/>
      <c r="FN757" s="1561"/>
      <c r="FO757" s="1559" t="str">
        <f t="shared" si="36"/>
        <v/>
      </c>
      <c r="FP757" s="1560"/>
      <c r="FQ757" s="1560"/>
      <c r="FR757" s="1560"/>
      <c r="FS757" s="1561"/>
      <c r="FT757" s="1559" t="str">
        <f t="shared" si="37"/>
        <v/>
      </c>
      <c r="FU757" s="1560"/>
      <c r="FV757" s="1560"/>
      <c r="FW757" s="1560"/>
      <c r="FX757" s="1561"/>
      <c r="FY757" s="1559" t="str">
        <f t="shared" si="38"/>
        <v/>
      </c>
      <c r="FZ757" s="1560"/>
      <c r="GA757" s="1560"/>
      <c r="GB757" s="1560"/>
      <c r="GC757" s="1561"/>
    </row>
    <row r="758" spans="1:185" s="3" customFormat="1" ht="12.9" customHeight="1">
      <c r="A758"/>
      <c r="B758" s="1368"/>
      <c r="C758" s="1369"/>
      <c r="D758" s="1369"/>
      <c r="E758" s="1369"/>
      <c r="F758" s="1370"/>
      <c r="G758" s="1362"/>
      <c r="H758" s="1363"/>
      <c r="I758" s="1363"/>
      <c r="J758" s="1364"/>
      <c r="K758" s="1365"/>
      <c r="L758" s="1366"/>
      <c r="M758" s="1366"/>
      <c r="N758" s="1367"/>
      <c r="O758" s="1404"/>
      <c r="P758" s="1405"/>
      <c r="Q758" s="1405"/>
      <c r="R758" s="1405"/>
      <c r="S758" s="1406"/>
      <c r="T758" s="1404"/>
      <c r="U758" s="1405"/>
      <c r="V758" s="1405"/>
      <c r="W758" s="1406"/>
      <c r="X758" s="1407">
        <f t="shared" si="42"/>
        <v>0</v>
      </c>
      <c r="Y758" s="1403"/>
      <c r="Z758" s="1403"/>
      <c r="AA758" s="1403"/>
      <c r="AB758" s="1408"/>
      <c r="AC758" s="1409"/>
      <c r="AD758" s="1410"/>
      <c r="AE758" s="1410"/>
      <c r="AF758" s="1410"/>
      <c r="AG758" s="1411"/>
      <c r="AH758" s="1463" t="str">
        <f t="shared" si="39"/>
        <v/>
      </c>
      <c r="AI758" s="1464"/>
      <c r="AJ758" s="1465"/>
      <c r="AK758" s="1368" t="s">
        <v>591</v>
      </c>
      <c r="AL758" s="1369"/>
      <c r="AM758" s="1369"/>
      <c r="AN758" s="1369"/>
      <c r="AO758" s="1370"/>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559">
        <f t="shared" si="40"/>
        <v>0</v>
      </c>
      <c r="CH758" s="1561"/>
      <c r="CI758" s="1693">
        <f t="shared" si="41"/>
        <v>0</v>
      </c>
      <c r="CJ758" s="1694"/>
      <c r="CK758" s="1559">
        <f t="shared" si="19"/>
        <v>0</v>
      </c>
      <c r="CL758" s="1561"/>
      <c r="CM758" s="1693">
        <f t="shared" si="20"/>
        <v>0</v>
      </c>
      <c r="CN758" s="1694"/>
      <c r="CP758" s="1555">
        <f t="shared" si="21"/>
        <v>0</v>
      </c>
      <c r="CQ758" s="1556"/>
      <c r="CR758" s="1556"/>
      <c r="CS758" s="1556"/>
      <c r="CT758" s="1557"/>
      <c r="CU758" s="1552">
        <f t="shared" si="22"/>
        <v>0</v>
      </c>
      <c r="CV758" s="1552"/>
      <c r="CW758" s="1552"/>
      <c r="CX758" s="1552"/>
      <c r="CY758" s="1552"/>
      <c r="CZ758" s="1552">
        <f t="shared" si="23"/>
        <v>0</v>
      </c>
      <c r="DA758" s="1552"/>
      <c r="DB758" s="1552"/>
      <c r="DC758" s="1552"/>
      <c r="DD758" s="1552"/>
      <c r="DE758" s="1552">
        <f t="shared" si="24"/>
        <v>0</v>
      </c>
      <c r="DF758" s="1552"/>
      <c r="DG758" s="1552"/>
      <c r="DH758" s="1552"/>
      <c r="DI758" s="1552"/>
      <c r="DJ758" s="1552">
        <f t="shared" si="25"/>
        <v>0</v>
      </c>
      <c r="DK758" s="1552"/>
      <c r="DL758" s="1552"/>
      <c r="DM758" s="1552"/>
      <c r="DN758" s="1552"/>
      <c r="DO758" s="1552">
        <f t="shared" si="26"/>
        <v>0</v>
      </c>
      <c r="DP758" s="1552"/>
      <c r="DQ758" s="1552"/>
      <c r="DR758" s="1552"/>
      <c r="DS758" s="1552"/>
      <c r="DT758" s="6"/>
      <c r="DU758" s="1553">
        <f t="shared" si="27"/>
        <v>0</v>
      </c>
      <c r="DV758" s="1553"/>
      <c r="DW758" s="1553"/>
      <c r="DX758" s="1553"/>
      <c r="DY758" s="1553"/>
      <c r="DZ758" s="1553">
        <f t="shared" si="28"/>
        <v>0</v>
      </c>
      <c r="EA758" s="1553"/>
      <c r="EB758" s="1553"/>
      <c r="EC758" s="1553"/>
      <c r="ED758" s="1553"/>
      <c r="EE758" s="1553">
        <f t="shared" si="29"/>
        <v>0</v>
      </c>
      <c r="EF758" s="1553"/>
      <c r="EG758" s="1553"/>
      <c r="EH758" s="1553"/>
      <c r="EI758" s="1553"/>
      <c r="EJ758" s="1553">
        <f t="shared" si="30"/>
        <v>0</v>
      </c>
      <c r="EK758" s="1553"/>
      <c r="EL758" s="1553"/>
      <c r="EM758" s="1553"/>
      <c r="EN758" s="1553"/>
      <c r="EO758" s="1553">
        <f t="shared" si="31"/>
        <v>0</v>
      </c>
      <c r="EP758" s="1553"/>
      <c r="EQ758" s="1553"/>
      <c r="ER758" s="1553"/>
      <c r="ES758" s="1553"/>
      <c r="ET758" s="1553">
        <f t="shared" si="32"/>
        <v>0</v>
      </c>
      <c r="EU758" s="1553"/>
      <c r="EV758" s="1553"/>
      <c r="EW758" s="1553"/>
      <c r="EX758" s="1553"/>
      <c r="EY758"/>
      <c r="EZ758" s="1559" t="str">
        <f t="shared" si="33"/>
        <v/>
      </c>
      <c r="FA758" s="1560"/>
      <c r="FB758" s="1560"/>
      <c r="FC758" s="1560"/>
      <c r="FD758" s="1561"/>
      <c r="FE758" s="1559" t="str">
        <f t="shared" si="34"/>
        <v/>
      </c>
      <c r="FF758" s="1560"/>
      <c r="FG758" s="1560"/>
      <c r="FH758" s="1560"/>
      <c r="FI758" s="1561"/>
      <c r="FJ758" s="1559" t="str">
        <f t="shared" si="35"/>
        <v/>
      </c>
      <c r="FK758" s="1560"/>
      <c r="FL758" s="1560"/>
      <c r="FM758" s="1560"/>
      <c r="FN758" s="1561"/>
      <c r="FO758" s="1559" t="str">
        <f t="shared" si="36"/>
        <v/>
      </c>
      <c r="FP758" s="1560"/>
      <c r="FQ758" s="1560"/>
      <c r="FR758" s="1560"/>
      <c r="FS758" s="1561"/>
      <c r="FT758" s="1559" t="str">
        <f t="shared" si="37"/>
        <v/>
      </c>
      <c r="FU758" s="1560"/>
      <c r="FV758" s="1560"/>
      <c r="FW758" s="1560"/>
      <c r="FX758" s="1561"/>
      <c r="FY758" s="1559" t="str">
        <f t="shared" si="38"/>
        <v/>
      </c>
      <c r="FZ758" s="1560"/>
      <c r="GA758" s="1560"/>
      <c r="GB758" s="1560"/>
      <c r="GC758" s="1561"/>
    </row>
    <row r="759" spans="1:185" s="3" customFormat="1" ht="12.9" customHeight="1">
      <c r="A759"/>
      <c r="B759" s="1368"/>
      <c r="C759" s="1369"/>
      <c r="D759" s="1369"/>
      <c r="E759" s="1369"/>
      <c r="F759" s="1370"/>
      <c r="G759" s="1362"/>
      <c r="H759" s="1363"/>
      <c r="I759" s="1363"/>
      <c r="J759" s="1364"/>
      <c r="K759" s="1365"/>
      <c r="L759" s="1366"/>
      <c r="M759" s="1366"/>
      <c r="N759" s="1367"/>
      <c r="O759" s="1404"/>
      <c r="P759" s="1405"/>
      <c r="Q759" s="1405"/>
      <c r="R759" s="1405"/>
      <c r="S759" s="1406"/>
      <c r="T759" s="1404"/>
      <c r="U759" s="1405"/>
      <c r="V759" s="1405"/>
      <c r="W759" s="1406"/>
      <c r="X759" s="1407">
        <f t="shared" si="42"/>
        <v>0</v>
      </c>
      <c r="Y759" s="1403"/>
      <c r="Z759" s="1403"/>
      <c r="AA759" s="1403"/>
      <c r="AB759" s="1408"/>
      <c r="AC759" s="1409"/>
      <c r="AD759" s="1410"/>
      <c r="AE759" s="1410"/>
      <c r="AF759" s="1410"/>
      <c r="AG759" s="1411"/>
      <c r="AH759" s="1463" t="str">
        <f t="shared" si="39"/>
        <v/>
      </c>
      <c r="AI759" s="1464"/>
      <c r="AJ759" s="1465"/>
      <c r="AK759" s="1368" t="s">
        <v>591</v>
      </c>
      <c r="AL759" s="1369"/>
      <c r="AM759" s="1369"/>
      <c r="AN759" s="1369"/>
      <c r="AO759" s="1370"/>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559">
        <f t="shared" si="40"/>
        <v>0</v>
      </c>
      <c r="CH759" s="1561"/>
      <c r="CI759" s="1693">
        <f t="shared" si="41"/>
        <v>0</v>
      </c>
      <c r="CJ759" s="1694"/>
      <c r="CK759" s="1559">
        <f t="shared" si="19"/>
        <v>0</v>
      </c>
      <c r="CL759" s="1561"/>
      <c r="CM759" s="1693">
        <f t="shared" si="20"/>
        <v>0</v>
      </c>
      <c r="CN759" s="1694"/>
      <c r="CP759" s="1555">
        <f t="shared" si="21"/>
        <v>0</v>
      </c>
      <c r="CQ759" s="1556"/>
      <c r="CR759" s="1556"/>
      <c r="CS759" s="1556"/>
      <c r="CT759" s="1557"/>
      <c r="CU759" s="1552">
        <f t="shared" si="22"/>
        <v>0</v>
      </c>
      <c r="CV759" s="1552"/>
      <c r="CW759" s="1552"/>
      <c r="CX759" s="1552"/>
      <c r="CY759" s="1552"/>
      <c r="CZ759" s="1552">
        <f t="shared" si="23"/>
        <v>0</v>
      </c>
      <c r="DA759" s="1552"/>
      <c r="DB759" s="1552"/>
      <c r="DC759" s="1552"/>
      <c r="DD759" s="1552"/>
      <c r="DE759" s="1552">
        <f t="shared" si="24"/>
        <v>0</v>
      </c>
      <c r="DF759" s="1552"/>
      <c r="DG759" s="1552"/>
      <c r="DH759" s="1552"/>
      <c r="DI759" s="1552"/>
      <c r="DJ759" s="1552">
        <f t="shared" si="25"/>
        <v>0</v>
      </c>
      <c r="DK759" s="1552"/>
      <c r="DL759" s="1552"/>
      <c r="DM759" s="1552"/>
      <c r="DN759" s="1552"/>
      <c r="DO759" s="1552">
        <f t="shared" si="26"/>
        <v>0</v>
      </c>
      <c r="DP759" s="1552"/>
      <c r="DQ759" s="1552"/>
      <c r="DR759" s="1552"/>
      <c r="DS759" s="1552"/>
      <c r="DT759" s="6"/>
      <c r="DU759" s="1553">
        <f t="shared" si="27"/>
        <v>0</v>
      </c>
      <c r="DV759" s="1553"/>
      <c r="DW759" s="1553"/>
      <c r="DX759" s="1553"/>
      <c r="DY759" s="1553"/>
      <c r="DZ759" s="1553">
        <f t="shared" si="28"/>
        <v>0</v>
      </c>
      <c r="EA759" s="1553"/>
      <c r="EB759" s="1553"/>
      <c r="EC759" s="1553"/>
      <c r="ED759" s="1553"/>
      <c r="EE759" s="1553">
        <f t="shared" si="29"/>
        <v>0</v>
      </c>
      <c r="EF759" s="1553"/>
      <c r="EG759" s="1553"/>
      <c r="EH759" s="1553"/>
      <c r="EI759" s="1553"/>
      <c r="EJ759" s="1553">
        <f t="shared" si="30"/>
        <v>0</v>
      </c>
      <c r="EK759" s="1553"/>
      <c r="EL759" s="1553"/>
      <c r="EM759" s="1553"/>
      <c r="EN759" s="1553"/>
      <c r="EO759" s="1553">
        <f t="shared" si="31"/>
        <v>0</v>
      </c>
      <c r="EP759" s="1553"/>
      <c r="EQ759" s="1553"/>
      <c r="ER759" s="1553"/>
      <c r="ES759" s="1553"/>
      <c r="ET759" s="1553">
        <f t="shared" si="32"/>
        <v>0</v>
      </c>
      <c r="EU759" s="1553"/>
      <c r="EV759" s="1553"/>
      <c r="EW759" s="1553"/>
      <c r="EX759" s="1553"/>
      <c r="EY759"/>
      <c r="EZ759" s="1559" t="str">
        <f t="shared" si="33"/>
        <v/>
      </c>
      <c r="FA759" s="1560"/>
      <c r="FB759" s="1560"/>
      <c r="FC759" s="1560"/>
      <c r="FD759" s="1561"/>
      <c r="FE759" s="1559" t="str">
        <f t="shared" si="34"/>
        <v/>
      </c>
      <c r="FF759" s="1560"/>
      <c r="FG759" s="1560"/>
      <c r="FH759" s="1560"/>
      <c r="FI759" s="1561"/>
      <c r="FJ759" s="1559" t="str">
        <f t="shared" si="35"/>
        <v/>
      </c>
      <c r="FK759" s="1560"/>
      <c r="FL759" s="1560"/>
      <c r="FM759" s="1560"/>
      <c r="FN759" s="1561"/>
      <c r="FO759" s="1559" t="str">
        <f t="shared" si="36"/>
        <v/>
      </c>
      <c r="FP759" s="1560"/>
      <c r="FQ759" s="1560"/>
      <c r="FR759" s="1560"/>
      <c r="FS759" s="1561"/>
      <c r="FT759" s="1559" t="str">
        <f t="shared" si="37"/>
        <v/>
      </c>
      <c r="FU759" s="1560"/>
      <c r="FV759" s="1560"/>
      <c r="FW759" s="1560"/>
      <c r="FX759" s="1561"/>
      <c r="FY759" s="1559" t="str">
        <f t="shared" si="38"/>
        <v/>
      </c>
      <c r="FZ759" s="1560"/>
      <c r="GA759" s="1560"/>
      <c r="GB759" s="1560"/>
      <c r="GC759" s="1561"/>
    </row>
    <row r="760" spans="1:185" s="3" customFormat="1" ht="12.9" customHeight="1">
      <c r="A760"/>
      <c r="B760" s="1368"/>
      <c r="C760" s="1369"/>
      <c r="D760" s="1369"/>
      <c r="E760" s="1369"/>
      <c r="F760" s="1370"/>
      <c r="G760" s="1362"/>
      <c r="H760" s="1363"/>
      <c r="I760" s="1363"/>
      <c r="J760" s="1364"/>
      <c r="K760" s="1365"/>
      <c r="L760" s="1366"/>
      <c r="M760" s="1366"/>
      <c r="N760" s="1367"/>
      <c r="O760" s="1404"/>
      <c r="P760" s="1405"/>
      <c r="Q760" s="1405"/>
      <c r="R760" s="1405"/>
      <c r="S760" s="1406"/>
      <c r="T760" s="1404"/>
      <c r="U760" s="1405"/>
      <c r="V760" s="1405"/>
      <c r="W760" s="1406"/>
      <c r="X760" s="1407">
        <f>O760+T760</f>
        <v>0</v>
      </c>
      <c r="Y760" s="1403"/>
      <c r="Z760" s="1403"/>
      <c r="AA760" s="1403"/>
      <c r="AB760" s="1408"/>
      <c r="AC760" s="1409"/>
      <c r="AD760" s="1410"/>
      <c r="AE760" s="1410"/>
      <c r="AF760" s="1410"/>
      <c r="AG760" s="1411"/>
      <c r="AH760" s="1463" t="str">
        <f t="shared" si="39"/>
        <v/>
      </c>
      <c r="AI760" s="1464"/>
      <c r="AJ760" s="1465"/>
      <c r="AK760" s="1368" t="s">
        <v>591</v>
      </c>
      <c r="AL760" s="1369"/>
      <c r="AM760" s="1369"/>
      <c r="AN760" s="1369"/>
      <c r="AO760" s="1370"/>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559">
        <f t="shared" si="40"/>
        <v>0</v>
      </c>
      <c r="CH760" s="1561"/>
      <c r="CI760" s="1693">
        <f t="shared" si="41"/>
        <v>0</v>
      </c>
      <c r="CJ760" s="1694"/>
      <c r="CK760" s="1559">
        <f t="shared" si="19"/>
        <v>0</v>
      </c>
      <c r="CL760" s="1561"/>
      <c r="CM760" s="1693">
        <f t="shared" si="20"/>
        <v>0</v>
      </c>
      <c r="CN760" s="1694"/>
      <c r="CP760" s="1555">
        <f t="shared" si="21"/>
        <v>0</v>
      </c>
      <c r="CQ760" s="1556"/>
      <c r="CR760" s="1556"/>
      <c r="CS760" s="1556"/>
      <c r="CT760" s="1557"/>
      <c r="CU760" s="1552">
        <f t="shared" si="22"/>
        <v>0</v>
      </c>
      <c r="CV760" s="1552"/>
      <c r="CW760" s="1552"/>
      <c r="CX760" s="1552"/>
      <c r="CY760" s="1552"/>
      <c r="CZ760" s="1552">
        <f t="shared" si="23"/>
        <v>0</v>
      </c>
      <c r="DA760" s="1552"/>
      <c r="DB760" s="1552"/>
      <c r="DC760" s="1552"/>
      <c r="DD760" s="1552"/>
      <c r="DE760" s="1552">
        <f t="shared" si="24"/>
        <v>0</v>
      </c>
      <c r="DF760" s="1552"/>
      <c r="DG760" s="1552"/>
      <c r="DH760" s="1552"/>
      <c r="DI760" s="1552"/>
      <c r="DJ760" s="1552">
        <f t="shared" si="25"/>
        <v>0</v>
      </c>
      <c r="DK760" s="1552"/>
      <c r="DL760" s="1552"/>
      <c r="DM760" s="1552"/>
      <c r="DN760" s="1552"/>
      <c r="DO760" s="1552">
        <f t="shared" si="26"/>
        <v>0</v>
      </c>
      <c r="DP760" s="1552"/>
      <c r="DQ760" s="1552"/>
      <c r="DR760" s="1552"/>
      <c r="DS760" s="1552"/>
      <c r="DT760" s="6"/>
      <c r="DU760" s="1553">
        <f t="shared" si="27"/>
        <v>0</v>
      </c>
      <c r="DV760" s="1553"/>
      <c r="DW760" s="1553"/>
      <c r="DX760" s="1553"/>
      <c r="DY760" s="1553"/>
      <c r="DZ760" s="1553">
        <f t="shared" si="28"/>
        <v>0</v>
      </c>
      <c r="EA760" s="1553"/>
      <c r="EB760" s="1553"/>
      <c r="EC760" s="1553"/>
      <c r="ED760" s="1553"/>
      <c r="EE760" s="1553">
        <f t="shared" si="29"/>
        <v>0</v>
      </c>
      <c r="EF760" s="1553"/>
      <c r="EG760" s="1553"/>
      <c r="EH760" s="1553"/>
      <c r="EI760" s="1553"/>
      <c r="EJ760" s="1553">
        <f t="shared" si="30"/>
        <v>0</v>
      </c>
      <c r="EK760" s="1553"/>
      <c r="EL760" s="1553"/>
      <c r="EM760" s="1553"/>
      <c r="EN760" s="1553"/>
      <c r="EO760" s="1553">
        <f t="shared" si="31"/>
        <v>0</v>
      </c>
      <c r="EP760" s="1553"/>
      <c r="EQ760" s="1553"/>
      <c r="ER760" s="1553"/>
      <c r="ES760" s="1553"/>
      <c r="ET760" s="1553">
        <f t="shared" si="32"/>
        <v>0</v>
      </c>
      <c r="EU760" s="1553"/>
      <c r="EV760" s="1553"/>
      <c r="EW760" s="1553"/>
      <c r="EX760" s="1553"/>
      <c r="EY760"/>
      <c r="EZ760" s="1559" t="str">
        <f t="shared" si="33"/>
        <v/>
      </c>
      <c r="FA760" s="1560"/>
      <c r="FB760" s="1560"/>
      <c r="FC760" s="1560"/>
      <c r="FD760" s="1561"/>
      <c r="FE760" s="1559" t="str">
        <f t="shared" si="34"/>
        <v/>
      </c>
      <c r="FF760" s="1560"/>
      <c r="FG760" s="1560"/>
      <c r="FH760" s="1560"/>
      <c r="FI760" s="1561"/>
      <c r="FJ760" s="1559" t="str">
        <f t="shared" si="35"/>
        <v/>
      </c>
      <c r="FK760" s="1560"/>
      <c r="FL760" s="1560"/>
      <c r="FM760" s="1560"/>
      <c r="FN760" s="1561"/>
      <c r="FO760" s="1559" t="str">
        <f t="shared" si="36"/>
        <v/>
      </c>
      <c r="FP760" s="1560"/>
      <c r="FQ760" s="1560"/>
      <c r="FR760" s="1560"/>
      <c r="FS760" s="1561"/>
      <c r="FT760" s="1559" t="str">
        <f t="shared" si="37"/>
        <v/>
      </c>
      <c r="FU760" s="1560"/>
      <c r="FV760" s="1560"/>
      <c r="FW760" s="1560"/>
      <c r="FX760" s="1561"/>
      <c r="FY760" s="1559" t="str">
        <f t="shared" si="38"/>
        <v/>
      </c>
      <c r="FZ760" s="1560"/>
      <c r="GA760" s="1560"/>
      <c r="GB760" s="1560"/>
      <c r="GC760" s="1561"/>
    </row>
    <row r="761" spans="1:185" s="3" customFormat="1" ht="12.9" customHeight="1">
      <c r="A761"/>
      <c r="B761" s="1537" t="s">
        <v>125</v>
      </c>
      <c r="C761" s="1538"/>
      <c r="D761" s="1538"/>
      <c r="E761" s="1538"/>
      <c r="F761" s="1539"/>
      <c r="G761" s="1666">
        <f>SUM(G726:G760)</f>
        <v>93</v>
      </c>
      <c r="H761" s="1667"/>
      <c r="I761" s="1667"/>
      <c r="J761" s="1668"/>
      <c r="K761" s="898" t="s">
        <v>124</v>
      </c>
      <c r="L761" s="5"/>
      <c r="M761" s="5"/>
      <c r="N761" s="46"/>
      <c r="O761" s="1407">
        <f>SUMPRODUCT(G726:G760,O726:O760)</f>
        <v>77749</v>
      </c>
      <c r="P761" s="1403"/>
      <c r="Q761" s="1403"/>
      <c r="R761" s="1403"/>
      <c r="S761" s="1408"/>
      <c r="T761"/>
      <c r="U761"/>
      <c r="V761"/>
      <c r="W761"/>
      <c r="X761" s="900" t="s">
        <v>900</v>
      </c>
      <c r="Y761" s="899"/>
      <c r="Z761" s="899"/>
      <c r="AA761" s="899"/>
      <c r="AB761" s="901"/>
      <c r="AC761" s="1460">
        <f>BH761</f>
        <v>0.39892473118279564</v>
      </c>
      <c r="AD761" s="1461"/>
      <c r="AE761" s="1461"/>
      <c r="AF761" s="1461"/>
      <c r="AG761" s="1462"/>
      <c r="AH761" s="1460">
        <f>IFERROR(BU761,"")</f>
        <v>0.30000315698419605</v>
      </c>
      <c r="AI761" s="1461"/>
      <c r="AJ761" s="1462"/>
      <c r="AK761"/>
      <c r="AL761"/>
      <c r="AM761"/>
      <c r="AN761"/>
      <c r="AO761"/>
      <c r="AP761" s="205"/>
      <c r="AQ761" s="205"/>
      <c r="AR761" s="205"/>
      <c r="AS761" s="205"/>
      <c r="AT761"/>
      <c r="AU761"/>
      <c r="AV761"/>
      <c r="AW761"/>
      <c r="AX761"/>
      <c r="AY761"/>
      <c r="AZ761" s="34"/>
      <c r="BA761" s="34"/>
      <c r="BB761" s="34"/>
      <c r="BC761" s="34"/>
      <c r="BE761" s="290" t="s">
        <v>899</v>
      </c>
      <c r="BF761" s="299">
        <f>SUM(BF726:BF760)</f>
        <v>93</v>
      </c>
      <c r="BG761" s="300">
        <f>SUM(BG726:BG760)</f>
        <v>1</v>
      </c>
      <c r="BH761" s="300">
        <f>SUM(BH726:BH760)</f>
        <v>0.39892473118279564</v>
      </c>
      <c r="BI761"/>
      <c r="BJ761"/>
      <c r="BK761"/>
      <c r="BL761"/>
      <c r="BO761"/>
      <c r="BP761"/>
      <c r="BQ761"/>
      <c r="BR761"/>
      <c r="BS761" s="855">
        <f>SUM(BS726:BS760)</f>
        <v>93</v>
      </c>
      <c r="BT761" s="300">
        <f>SUM(BT726:BT760)</f>
        <v>1</v>
      </c>
      <c r="BU761" s="300">
        <f>SUM(BU726:BU760)</f>
        <v>0.30000315698419605</v>
      </c>
      <c r="CI761" s="1559">
        <f>SUM(CI726:CJ760)</f>
        <v>46</v>
      </c>
      <c r="CJ761" s="1561"/>
      <c r="CM761" s="1559">
        <f>SUM(CM726:CN760)</f>
        <v>47</v>
      </c>
      <c r="CN761" s="1561"/>
      <c r="CP761" s="1559">
        <f>SUM(CP726:CT760)</f>
        <v>41</v>
      </c>
      <c r="CQ761" s="1560"/>
      <c r="CR761" s="1560"/>
      <c r="CS761" s="1560"/>
      <c r="CT761" s="1561"/>
      <c r="CU761" s="1558">
        <f>SUM(CU726:CY760)</f>
        <v>47</v>
      </c>
      <c r="CV761" s="1558"/>
      <c r="CW761" s="1558"/>
      <c r="CX761" s="1558"/>
      <c r="CY761" s="1558"/>
      <c r="CZ761" s="1558">
        <f>SUM(CZ726:DD760)</f>
        <v>5</v>
      </c>
      <c r="DA761" s="1558"/>
      <c r="DB761" s="1558"/>
      <c r="DC761" s="1558"/>
      <c r="DD761" s="1558"/>
      <c r="DE761" s="1558">
        <f>SUM(DE726:DI760)</f>
        <v>0</v>
      </c>
      <c r="DF761" s="1558"/>
      <c r="DG761" s="1558"/>
      <c r="DH761" s="1558"/>
      <c r="DI761" s="1558"/>
      <c r="DJ761" s="1558">
        <f>SUM(DJ726:DN760)</f>
        <v>0</v>
      </c>
      <c r="DK761" s="1558"/>
      <c r="DL761" s="1558"/>
      <c r="DM761" s="1558"/>
      <c r="DN761" s="1558"/>
      <c r="DO761" s="1558">
        <f>SUM(DO726:DS760)</f>
        <v>0</v>
      </c>
      <c r="DP761" s="1558"/>
      <c r="DQ761" s="1558"/>
      <c r="DR761" s="1558"/>
      <c r="DS761" s="1558"/>
      <c r="DT761" s="354"/>
      <c r="DU761" s="1558">
        <f>SUM(DU726:DY760)</f>
        <v>41</v>
      </c>
      <c r="DV761" s="1558"/>
      <c r="DW761" s="1558"/>
      <c r="DX761" s="1558"/>
      <c r="DY761" s="1558"/>
      <c r="DZ761" s="1558">
        <f>SUM(DZ726:ED760)</f>
        <v>5</v>
      </c>
      <c r="EA761" s="1558"/>
      <c r="EB761" s="1558"/>
      <c r="EC761" s="1558"/>
      <c r="ED761" s="1558"/>
      <c r="EE761" s="1558">
        <f>SUM(EE726:EI760)</f>
        <v>1</v>
      </c>
      <c r="EF761" s="1558"/>
      <c r="EG761" s="1558"/>
      <c r="EH761" s="1558"/>
      <c r="EI761" s="1558"/>
      <c r="EJ761" s="1558">
        <f>SUM(EJ726:EN760)</f>
        <v>0</v>
      </c>
      <c r="EK761" s="1558"/>
      <c r="EL761" s="1558"/>
      <c r="EM761" s="1558"/>
      <c r="EN761" s="1558"/>
      <c r="EO761" s="1558">
        <f>SUM(EO726:ES760)</f>
        <v>0</v>
      </c>
      <c r="EP761" s="1558"/>
      <c r="EQ761" s="1558"/>
      <c r="ER761" s="1558"/>
      <c r="ES761" s="1558"/>
      <c r="ET761" s="1558">
        <f>SUM(ET726:EX760)</f>
        <v>0</v>
      </c>
      <c r="EU761" s="1558"/>
      <c r="EV761" s="1558"/>
      <c r="EW761" s="1558"/>
      <c r="EX761" s="1558"/>
      <c r="EY761"/>
      <c r="EZ761" s="1558">
        <f>SUM(EZ726:FD760)</f>
        <v>795</v>
      </c>
      <c r="FA761" s="1558"/>
      <c r="FB761" s="1558"/>
      <c r="FC761" s="1558"/>
      <c r="FD761" s="1558"/>
      <c r="FE761" s="1558">
        <f>SUM(FE726:FI760)</f>
        <v>1704</v>
      </c>
      <c r="FF761" s="1558"/>
      <c r="FG761" s="1558"/>
      <c r="FH761" s="1558"/>
      <c r="FI761" s="1558"/>
      <c r="FJ761" s="1558">
        <f>SUM(FJ726:FN760)</f>
        <v>2044</v>
      </c>
      <c r="FK761" s="1558"/>
      <c r="FL761" s="1558"/>
      <c r="FM761" s="1558"/>
      <c r="FN761" s="1558"/>
      <c r="FO761" s="1558">
        <f>SUM(FO726:FS760)</f>
        <v>0</v>
      </c>
      <c r="FP761" s="1558"/>
      <c r="FQ761" s="1558"/>
      <c r="FR761" s="1558"/>
      <c r="FS761" s="1558"/>
      <c r="FT761" s="1558">
        <f>SUM(FT726:FX760)</f>
        <v>0</v>
      </c>
      <c r="FU761" s="1558"/>
      <c r="FV761" s="1558"/>
      <c r="FW761" s="1558"/>
      <c r="FX761" s="1558"/>
      <c r="FY761" s="1558">
        <f>SUM(FY726:GC760)</f>
        <v>0</v>
      </c>
      <c r="FZ761" s="1558"/>
      <c r="GA761" s="1558"/>
      <c r="GB761" s="1558"/>
      <c r="GC761" s="1558"/>
    </row>
    <row r="762" spans="1:185" s="3" customFormat="1" ht="12.9" customHeight="1">
      <c r="A762"/>
      <c r="B762" s="1753" t="s">
        <v>1865</v>
      </c>
      <c r="C762" s="1753"/>
      <c r="D762" s="1753"/>
      <c r="E762" s="1753"/>
      <c r="F762" s="1753"/>
      <c r="G762" s="1753"/>
      <c r="H762" s="1753"/>
      <c r="I762" s="1753"/>
      <c r="J762" s="1753"/>
      <c r="K762" s="1753"/>
      <c r="L762" s="1753"/>
      <c r="M762" s="1753"/>
      <c r="N762" s="1753"/>
      <c r="O762" s="1753"/>
      <c r="P762" s="1753"/>
      <c r="Q762" s="1753"/>
      <c r="R762" s="1753"/>
      <c r="S762" s="1753"/>
      <c r="T762" s="1753"/>
      <c r="U762" s="1753"/>
      <c r="V762" s="1753"/>
      <c r="W762" s="1753"/>
      <c r="X762" s="1753"/>
      <c r="Y762" s="1753"/>
      <c r="Z762" s="1753"/>
      <c r="AA762" s="1753"/>
      <c r="AB762" s="1753"/>
      <c r="AC762" s="1753"/>
      <c r="AD762" s="1753"/>
      <c r="AE762" s="1753"/>
      <c r="AF762" s="1753"/>
      <c r="AG762" s="1753"/>
      <c r="AH762" s="1753"/>
      <c r="AI762"/>
      <c r="AJ762"/>
      <c r="AK762"/>
      <c r="AT762"/>
      <c r="AU762"/>
      <c r="AV762"/>
      <c r="AW762"/>
      <c r="AX762"/>
      <c r="AY762"/>
      <c r="CD762"/>
      <c r="DN762" s="56" t="s">
        <v>1833</v>
      </c>
      <c r="DO762" s="1559">
        <f>CP761+CU761+CZ761+DE761+DJ761+DO761</f>
        <v>93</v>
      </c>
      <c r="DP762" s="1560"/>
      <c r="DQ762" s="1560"/>
      <c r="DR762" s="1560"/>
      <c r="DS762" s="15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753"/>
      <c r="C763" s="1753"/>
      <c r="D763" s="1753"/>
      <c r="E763" s="1753"/>
      <c r="F763" s="1753"/>
      <c r="G763" s="1753"/>
      <c r="H763" s="1753"/>
      <c r="I763" s="1753"/>
      <c r="J763" s="1753"/>
      <c r="K763" s="1753"/>
      <c r="L763" s="1753"/>
      <c r="M763" s="1753"/>
      <c r="N763" s="1753"/>
      <c r="O763" s="1753"/>
      <c r="P763" s="1753"/>
      <c r="Q763" s="1753"/>
      <c r="R763" s="1753"/>
      <c r="S763" s="1753"/>
      <c r="T763" s="1753"/>
      <c r="U763" s="1753"/>
      <c r="V763" s="1753"/>
      <c r="W763" s="1753"/>
      <c r="X763" s="1753"/>
      <c r="Y763" s="1753"/>
      <c r="Z763" s="1753"/>
      <c r="AA763" s="1753"/>
      <c r="AB763" s="1753"/>
      <c r="AC763" s="1753"/>
      <c r="AD763" s="1753"/>
      <c r="AE763" s="1753"/>
      <c r="AF763" s="1753"/>
      <c r="AG763" s="1753"/>
      <c r="AH763" s="175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41</v>
      </c>
      <c r="CU763" s="3"/>
      <c r="CV763" s="3"/>
      <c r="CW763" s="3"/>
      <c r="CX763" s="3"/>
      <c r="CY763" s="857">
        <f>CU761*1</f>
        <v>47</v>
      </c>
      <c r="CZ763" s="3"/>
      <c r="DA763" s="3"/>
      <c r="DB763" s="3"/>
      <c r="DC763" s="3"/>
      <c r="DD763" s="857">
        <f>CZ761*2</f>
        <v>10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98</v>
      </c>
      <c r="DV763" s="57" t="s">
        <v>1835</v>
      </c>
      <c r="DW763" s="3"/>
      <c r="DX763" s="3"/>
      <c r="DY763" s="3"/>
      <c r="DZ763" s="3"/>
      <c r="EA763" s="3"/>
      <c r="EB763" s="3"/>
      <c r="EC763" s="3"/>
      <c r="ED763" s="3"/>
      <c r="EE763" s="3"/>
      <c r="EF763" s="3"/>
      <c r="EG763" s="3"/>
      <c r="EH763" s="3"/>
    </row>
    <row r="764" spans="1:185" ht="12.9" customHeight="1">
      <c r="A764" s="3"/>
      <c r="B764" s="3"/>
      <c r="C764" s="118" t="s">
        <v>1863</v>
      </c>
      <c r="D764" s="1027"/>
      <c r="E764" s="1027"/>
      <c r="F764" s="1027"/>
      <c r="G764" s="1028"/>
      <c r="H764" s="1028"/>
      <c r="I764" s="1028"/>
      <c r="J764" s="1028"/>
      <c r="K764" s="1027"/>
      <c r="L764" s="1027"/>
      <c r="M764" s="1027"/>
      <c r="N764" s="1027"/>
      <c r="O764" s="1558">
        <f>DU763</f>
        <v>98</v>
      </c>
      <c r="P764" s="1558"/>
      <c r="Q764" s="1558"/>
      <c r="R764" s="1558"/>
      <c r="S764" s="965"/>
      <c r="T764" s="965"/>
      <c r="U764" s="118" t="s">
        <v>1864</v>
      </c>
      <c r="V764" s="1027"/>
      <c r="W764" s="1027"/>
      <c r="X764" s="1027"/>
      <c r="Y764" s="1028"/>
      <c r="Z764" s="1028"/>
      <c r="AA764" s="1028"/>
      <c r="AB764" s="1028"/>
      <c r="AC764" s="1027"/>
      <c r="AD764" s="1027"/>
      <c r="AE764" s="1027"/>
      <c r="AF764" s="1027"/>
      <c r="AG764" s="1756">
        <v>98</v>
      </c>
      <c r="AH764" s="1756"/>
      <c r="AI764" s="1756"/>
      <c r="AJ764" s="175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361" t="str">
        <f>IF(G761&lt;&gt;AG449,"! Total Low-Income Units in the Unit Mix Table above does not match the number of Total Low-Income Units on row #"&amp;TEXT(ROW(D449),"#"),"")</f>
        <v/>
      </c>
      <c r="D765" s="1361"/>
      <c r="E765" s="1361"/>
      <c r="F765" s="1361"/>
      <c r="G765" s="1361"/>
      <c r="H765" s="1361"/>
      <c r="I765" s="1361"/>
      <c r="J765" s="1361"/>
      <c r="K765" s="1361"/>
      <c r="L765" s="1361"/>
      <c r="M765" s="1361"/>
      <c r="N765" s="1361"/>
      <c r="O765" s="1361"/>
      <c r="P765" s="1361"/>
      <c r="Q765" s="1361"/>
      <c r="R765" s="1361"/>
      <c r="S765" s="1361"/>
      <c r="T765" s="1361"/>
      <c r="U765" s="1361"/>
      <c r="V765" s="1361"/>
      <c r="W765" s="1361"/>
      <c r="X765" s="1361"/>
      <c r="Y765" s="1361"/>
      <c r="Z765" s="1361"/>
      <c r="AA765" s="1361"/>
      <c r="AB765" s="1361"/>
      <c r="AC765" s="1361"/>
      <c r="AD765" s="1361"/>
      <c r="AE765" s="1361"/>
      <c r="AF765" s="1361"/>
      <c r="AG765" s="1361"/>
      <c r="AH765" s="1361"/>
      <c r="AI765" s="1361"/>
      <c r="AJ765" s="1361"/>
      <c r="AK765" s="1361"/>
      <c r="AL765" s="1361"/>
      <c r="AM765" s="136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361"/>
      <c r="D766" s="1361"/>
      <c r="E766" s="1361"/>
      <c r="F766" s="1361"/>
      <c r="G766" s="1361"/>
      <c r="H766" s="1361"/>
      <c r="I766" s="1361"/>
      <c r="J766" s="1361"/>
      <c r="K766" s="1361"/>
      <c r="L766" s="1361"/>
      <c r="M766" s="1361"/>
      <c r="N766" s="1361"/>
      <c r="O766" s="1361"/>
      <c r="P766" s="1361"/>
      <c r="Q766" s="1361"/>
      <c r="R766" s="1361"/>
      <c r="S766" s="1361"/>
      <c r="T766" s="1361"/>
      <c r="U766" s="1361"/>
      <c r="V766" s="1361"/>
      <c r="W766" s="1361"/>
      <c r="X766" s="1361"/>
      <c r="Y766" s="1361"/>
      <c r="Z766" s="1361"/>
      <c r="AA766" s="1361"/>
      <c r="AB766" s="1361"/>
      <c r="AC766" s="1361"/>
      <c r="AD766" s="1361"/>
      <c r="AE766" s="1361"/>
      <c r="AF766" s="1361"/>
      <c r="AG766" s="1361"/>
      <c r="AH766" s="1361"/>
      <c r="AI766" s="1361"/>
      <c r="AJ766" s="1361"/>
      <c r="AK766" s="1361"/>
      <c r="AL766" s="1361"/>
      <c r="AM766" s="136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9" t="s">
        <v>591</v>
      </c>
      <c r="AE767" s="1669"/>
      <c r="AF767" s="166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3" t="s">
        <v>2043</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3" t="s">
        <v>2044</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418" t="s">
        <v>389</v>
      </c>
      <c r="K777" s="1419"/>
      <c r="L777" s="1419"/>
      <c r="M777" s="1419"/>
      <c r="N777" s="1420"/>
      <c r="O777" s="1738" t="s">
        <v>285</v>
      </c>
      <c r="P777" s="1738"/>
      <c r="Q777" s="1738"/>
      <c r="R777" s="1738"/>
      <c r="S777" s="1738"/>
      <c r="T777" s="1732" t="s">
        <v>1667</v>
      </c>
      <c r="U777" s="1733"/>
      <c r="V777" s="1733"/>
      <c r="W777" s="1734"/>
      <c r="X777" s="1418" t="s">
        <v>447</v>
      </c>
      <c r="Y777" s="1419"/>
      <c r="Z777" s="1419"/>
      <c r="AA777" s="1419"/>
      <c r="AB777" s="1420"/>
      <c r="AC777" s="1418" t="s">
        <v>286</v>
      </c>
      <c r="AD777" s="1419"/>
      <c r="AE777" s="1419"/>
      <c r="AF777" s="1419"/>
      <c r="AG777" s="142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21"/>
      <c r="K778" s="1422"/>
      <c r="L778" s="1422"/>
      <c r="M778" s="1422"/>
      <c r="N778" s="1423"/>
      <c r="O778" s="1738"/>
      <c r="P778" s="1738"/>
      <c r="Q778" s="1738"/>
      <c r="R778" s="1738"/>
      <c r="S778" s="1738"/>
      <c r="T778" s="1735"/>
      <c r="U778" s="1736"/>
      <c r="V778" s="1736"/>
      <c r="W778" s="1737"/>
      <c r="X778" s="1421"/>
      <c r="Y778" s="1422"/>
      <c r="Z778" s="1422"/>
      <c r="AA778" s="1422"/>
      <c r="AB778" s="1423"/>
      <c r="AC778" s="1421"/>
      <c r="AD778" s="1422"/>
      <c r="AE778" s="1422"/>
      <c r="AF778" s="1422"/>
      <c r="AG778" s="142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21"/>
      <c r="K779" s="1422"/>
      <c r="L779" s="1422"/>
      <c r="M779" s="1422"/>
      <c r="N779" s="1423"/>
      <c r="O779" s="1738"/>
      <c r="P779" s="1738"/>
      <c r="Q779" s="1738"/>
      <c r="R779" s="1738"/>
      <c r="S779" s="1738"/>
      <c r="T779" s="1735"/>
      <c r="U779" s="1736"/>
      <c r="V779" s="1736"/>
      <c r="W779" s="1737"/>
      <c r="X779" s="1421"/>
      <c r="Y779" s="1422"/>
      <c r="Z779" s="1422"/>
      <c r="AA779" s="1422"/>
      <c r="AB779" s="1423"/>
      <c r="AC779" s="1421"/>
      <c r="AD779" s="1422"/>
      <c r="AE779" s="1422"/>
      <c r="AF779" s="1422"/>
      <c r="AG779" s="142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24"/>
      <c r="K780" s="1425"/>
      <c r="L780" s="1425"/>
      <c r="M780" s="1425"/>
      <c r="N780" s="1426"/>
      <c r="O780" s="1738"/>
      <c r="P780" s="1738"/>
      <c r="Q780" s="1738"/>
      <c r="R780" s="1738"/>
      <c r="S780" s="1738"/>
      <c r="T780" s="1741"/>
      <c r="U780" s="1742"/>
      <c r="V780" s="1742"/>
      <c r="W780" s="1743"/>
      <c r="X780" s="1424"/>
      <c r="Y780" s="1425"/>
      <c r="Z780" s="1425"/>
      <c r="AA780" s="1425"/>
      <c r="AB780" s="1426"/>
      <c r="AC780" s="1424"/>
      <c r="AD780" s="1425"/>
      <c r="AE780" s="1425"/>
      <c r="AF780" s="1425"/>
      <c r="AG780" s="142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8" t="s">
        <v>163</v>
      </c>
      <c r="K781" s="1369"/>
      <c r="L781" s="1369"/>
      <c r="M781" s="1369"/>
      <c r="N781" s="1370"/>
      <c r="O781" s="1739">
        <v>2</v>
      </c>
      <c r="P781" s="1739"/>
      <c r="Q781" s="1739"/>
      <c r="R781" s="1739"/>
      <c r="S781" s="1739"/>
      <c r="T781" s="1365">
        <v>931</v>
      </c>
      <c r="U781" s="1366"/>
      <c r="V781" s="1366"/>
      <c r="W781" s="1367"/>
      <c r="X781" s="1404">
        <v>0</v>
      </c>
      <c r="Y781" s="1405"/>
      <c r="Z781" s="1405"/>
      <c r="AA781" s="1405"/>
      <c r="AB781" s="1406"/>
      <c r="AC781" s="1407">
        <f>X781*O781</f>
        <v>0</v>
      </c>
      <c r="AD781" s="1403"/>
      <c r="AE781" s="1403"/>
      <c r="AF781" s="1403"/>
      <c r="AG781" s="140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55">
        <f>IF(J781="SRO/Studio",O781,0)</f>
        <v>0</v>
      </c>
      <c r="CQ781" s="1556"/>
      <c r="CR781" s="1556"/>
      <c r="CS781" s="1556"/>
      <c r="CT781" s="1557"/>
      <c r="CU781" s="1552">
        <f>IF(J781="1 Bedroom",O781,0)</f>
        <v>0</v>
      </c>
      <c r="CV781" s="1552"/>
      <c r="CW781" s="1552"/>
      <c r="CX781" s="1552"/>
      <c r="CY781" s="1552"/>
      <c r="CZ781" s="1552">
        <f>IF(J781="2 Bedrooms",O781,0)</f>
        <v>2</v>
      </c>
      <c r="DA781" s="1552"/>
      <c r="DB781" s="1552"/>
      <c r="DC781" s="1552"/>
      <c r="DD781" s="1552"/>
      <c r="DE781" s="1552">
        <f>IF(J781="3 Bedrooms",O781,0)</f>
        <v>0</v>
      </c>
      <c r="DF781" s="1552"/>
      <c r="DG781" s="1552"/>
      <c r="DH781" s="1552"/>
      <c r="DI781" s="1552"/>
      <c r="DJ781" s="1552">
        <f>IF(J781="4 Bedrooms",O781,0)</f>
        <v>0</v>
      </c>
      <c r="DK781" s="1552"/>
      <c r="DL781" s="1552"/>
      <c r="DM781" s="1552"/>
      <c r="DN781" s="1552"/>
      <c r="DO781" s="1552">
        <f>IF(J781="5 Bedrooms",O781,0)</f>
        <v>0</v>
      </c>
      <c r="DP781" s="1552"/>
      <c r="DQ781" s="1552"/>
      <c r="DR781" s="1552"/>
      <c r="DS781" s="1552"/>
      <c r="DT781" s="6"/>
      <c r="DU781" s="3"/>
      <c r="DV781" s="3"/>
    </row>
    <row r="782" spans="1:159" ht="12.9" customHeight="1">
      <c r="J782" s="1368"/>
      <c r="K782" s="1369"/>
      <c r="L782" s="1369"/>
      <c r="M782" s="1369"/>
      <c r="N782" s="1370"/>
      <c r="O782" s="1739"/>
      <c r="P782" s="1739"/>
      <c r="Q782" s="1739"/>
      <c r="R782" s="1739"/>
      <c r="S782" s="1739"/>
      <c r="T782" s="1365"/>
      <c r="U782" s="1366"/>
      <c r="V782" s="1366"/>
      <c r="W782" s="1367"/>
      <c r="X782" s="1404"/>
      <c r="Y782" s="1405"/>
      <c r="Z782" s="1405"/>
      <c r="AA782" s="1405"/>
      <c r="AB782" s="1406"/>
      <c r="AC782" s="1407">
        <f>X782*O782</f>
        <v>0</v>
      </c>
      <c r="AD782" s="1403"/>
      <c r="AE782" s="1403"/>
      <c r="AF782" s="1403"/>
      <c r="AG782" s="140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55">
        <f>IF(J782="SRO/Studio",O782,0)</f>
        <v>0</v>
      </c>
      <c r="CQ782" s="1556"/>
      <c r="CR782" s="1556"/>
      <c r="CS782" s="1556"/>
      <c r="CT782" s="1557"/>
      <c r="CU782" s="1552">
        <f>IF(J782="1 Bedroom",O782,0)</f>
        <v>0</v>
      </c>
      <c r="CV782" s="1552"/>
      <c r="CW782" s="1552"/>
      <c r="CX782" s="1552"/>
      <c r="CY782" s="1552"/>
      <c r="CZ782" s="1552">
        <f>IF(J782="2 Bedrooms",O782,0)</f>
        <v>0</v>
      </c>
      <c r="DA782" s="1552"/>
      <c r="DB782" s="1552"/>
      <c r="DC782" s="1552"/>
      <c r="DD782" s="1552"/>
      <c r="DE782" s="1552">
        <f>IF(J782="3 Bedrooms",O782,0)</f>
        <v>0</v>
      </c>
      <c r="DF782" s="1552"/>
      <c r="DG782" s="1552"/>
      <c r="DH782" s="1552"/>
      <c r="DI782" s="1552"/>
      <c r="DJ782" s="1552">
        <f>IF(J782="4 Bedrooms",O782,0)</f>
        <v>0</v>
      </c>
      <c r="DK782" s="1552"/>
      <c r="DL782" s="1552"/>
      <c r="DM782" s="1552"/>
      <c r="DN782" s="1552"/>
      <c r="DO782" s="1552">
        <f>IF(J782="5 Bedrooms",O782,0)</f>
        <v>0</v>
      </c>
      <c r="DP782" s="1552"/>
      <c r="DQ782" s="1552"/>
      <c r="DR782" s="1552"/>
      <c r="DS782" s="1552"/>
      <c r="DT782" s="6"/>
      <c r="DU782" s="3"/>
      <c r="DV782" s="3"/>
    </row>
    <row r="783" spans="1:159" ht="12.9" customHeight="1">
      <c r="J783" s="1368"/>
      <c r="K783" s="1369"/>
      <c r="L783" s="1369"/>
      <c r="M783" s="1369"/>
      <c r="N783" s="1370"/>
      <c r="O783" s="1739"/>
      <c r="P783" s="1739"/>
      <c r="Q783" s="1739"/>
      <c r="R783" s="1739"/>
      <c r="S783" s="1739"/>
      <c r="T783" s="1365"/>
      <c r="U783" s="1366"/>
      <c r="V783" s="1366"/>
      <c r="W783" s="1367"/>
      <c r="X783" s="1404"/>
      <c r="Y783" s="1405"/>
      <c r="Z783" s="1405"/>
      <c r="AA783" s="1405"/>
      <c r="AB783" s="1406"/>
      <c r="AC783" s="1407">
        <f>X783*O783</f>
        <v>0</v>
      </c>
      <c r="AD783" s="1403"/>
      <c r="AE783" s="1403"/>
      <c r="AF783" s="1403"/>
      <c r="AG783" s="140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55">
        <f>IF(J783="SRO/Studio",O783,0)</f>
        <v>0</v>
      </c>
      <c r="CQ783" s="1556"/>
      <c r="CR783" s="1556"/>
      <c r="CS783" s="1556"/>
      <c r="CT783" s="1557"/>
      <c r="CU783" s="1552">
        <f>IF(J783="1 Bedroom",O783,0)</f>
        <v>0</v>
      </c>
      <c r="CV783" s="1552"/>
      <c r="CW783" s="1552"/>
      <c r="CX783" s="1552"/>
      <c r="CY783" s="1552"/>
      <c r="CZ783" s="1552">
        <f>IF(J783="2 Bedrooms",O783,0)</f>
        <v>0</v>
      </c>
      <c r="DA783" s="1552"/>
      <c r="DB783" s="1552"/>
      <c r="DC783" s="1552"/>
      <c r="DD783" s="1552"/>
      <c r="DE783" s="1552">
        <f>IF(J783="3 Bedrooms",O783,0)</f>
        <v>0</v>
      </c>
      <c r="DF783" s="1552"/>
      <c r="DG783" s="1552"/>
      <c r="DH783" s="1552"/>
      <c r="DI783" s="1552"/>
      <c r="DJ783" s="1552">
        <f>IF(J783="4 Bedrooms",O783,0)</f>
        <v>0</v>
      </c>
      <c r="DK783" s="1552"/>
      <c r="DL783" s="1552"/>
      <c r="DM783" s="1552"/>
      <c r="DN783" s="1552"/>
      <c r="DO783" s="1552">
        <f>IF(J783="5 Bedrooms",O783,0)</f>
        <v>0</v>
      </c>
      <c r="DP783" s="1552"/>
      <c r="DQ783" s="1552"/>
      <c r="DR783" s="1552"/>
      <c r="DS783" s="1552"/>
      <c r="DT783" s="1007"/>
    </row>
    <row r="784" spans="1:159" ht="12.9" customHeight="1">
      <c r="J784" s="1368"/>
      <c r="K784" s="1369"/>
      <c r="L784" s="1369"/>
      <c r="M784" s="1369"/>
      <c r="N784" s="1370"/>
      <c r="O784" s="1739"/>
      <c r="P784" s="1739"/>
      <c r="Q784" s="1739"/>
      <c r="R784" s="1739"/>
      <c r="S784" s="1739"/>
      <c r="T784" s="1365"/>
      <c r="U784" s="1366"/>
      <c r="V784" s="1366"/>
      <c r="W784" s="1367"/>
      <c r="X784" s="1404"/>
      <c r="Y784" s="1405"/>
      <c r="Z784" s="1405"/>
      <c r="AA784" s="1405"/>
      <c r="AB784" s="1406"/>
      <c r="AC784" s="1407">
        <f>X784*O784</f>
        <v>0</v>
      </c>
      <c r="AD784" s="1403"/>
      <c r="AE784" s="1403"/>
      <c r="AF784" s="1403"/>
      <c r="AG784" s="140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55">
        <f>IF(J784="SRO/Studio",O784,0)</f>
        <v>0</v>
      </c>
      <c r="CQ784" s="1556"/>
      <c r="CR784" s="1556"/>
      <c r="CS784" s="1556"/>
      <c r="CT784" s="1557"/>
      <c r="CU784" s="1552">
        <f>IF(J784="1 Bedroom",O784,0)</f>
        <v>0</v>
      </c>
      <c r="CV784" s="1552"/>
      <c r="CW784" s="1552"/>
      <c r="CX784" s="1552"/>
      <c r="CY784" s="1552"/>
      <c r="CZ784" s="1552">
        <f>IF(J784="2 Bedrooms",O784,0)</f>
        <v>0</v>
      </c>
      <c r="DA784" s="1552"/>
      <c r="DB784" s="1552"/>
      <c r="DC784" s="1552"/>
      <c r="DD784" s="1552"/>
      <c r="DE784" s="1552">
        <f>IF(J784="3 Bedrooms",O784,0)</f>
        <v>0</v>
      </c>
      <c r="DF784" s="1552"/>
      <c r="DG784" s="1552"/>
      <c r="DH784" s="1552"/>
      <c r="DI784" s="1552"/>
      <c r="DJ784" s="1552">
        <f>IF(J784="4 Bedrooms",O784,0)</f>
        <v>0</v>
      </c>
      <c r="DK784" s="1552"/>
      <c r="DL784" s="1552"/>
      <c r="DM784" s="1552"/>
      <c r="DN784" s="1552"/>
      <c r="DO784" s="1552">
        <f>IF(J784="5 Bedrooms",O784,0)</f>
        <v>0</v>
      </c>
      <c r="DP784" s="1552"/>
      <c r="DQ784" s="1552"/>
      <c r="DR784" s="1552"/>
      <c r="DS784" s="1552"/>
    </row>
    <row r="785" spans="1:154" ht="12.9" customHeight="1">
      <c r="J785" s="1537" t="s">
        <v>125</v>
      </c>
      <c r="K785" s="1538"/>
      <c r="L785" s="1538"/>
      <c r="M785" s="1538"/>
      <c r="N785" s="1539"/>
      <c r="O785" s="1693">
        <f>SUM(O781:S784)</f>
        <v>2</v>
      </c>
      <c r="P785" s="1745"/>
      <c r="Q785" s="1745"/>
      <c r="R785" s="1745"/>
      <c r="S785" s="1694"/>
      <c r="X785" s="1537" t="s">
        <v>124</v>
      </c>
      <c r="Y785" s="1538"/>
      <c r="Z785" s="1538"/>
      <c r="AA785" s="1538"/>
      <c r="AB785" s="1539"/>
      <c r="AC785" s="1407">
        <f>SUM(AC781:AG784)</f>
        <v>0</v>
      </c>
      <c r="AD785" s="1403"/>
      <c r="AE785" s="1403"/>
      <c r="AF785" s="1403"/>
      <c r="AG785" s="140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693">
        <f>SUM(CP781:CT784)</f>
        <v>0</v>
      </c>
      <c r="CQ785" s="1745"/>
      <c r="CR785" s="1745"/>
      <c r="CS785" s="1745"/>
      <c r="CT785" s="1694"/>
      <c r="CU785" s="1562">
        <f>SUM(CU781:CY784)</f>
        <v>0</v>
      </c>
      <c r="CV785" s="1563"/>
      <c r="CW785" s="1563"/>
      <c r="CX785" s="1563"/>
      <c r="CY785" s="1564"/>
      <c r="CZ785" s="1562">
        <f>SUM(CZ781:DD784)</f>
        <v>2</v>
      </c>
      <c r="DA785" s="1563"/>
      <c r="DB785" s="1563"/>
      <c r="DC785" s="1563"/>
      <c r="DD785" s="1564"/>
      <c r="DE785" s="1562">
        <f>SUM(DE781:DI784)</f>
        <v>0</v>
      </c>
      <c r="DF785" s="1563"/>
      <c r="DG785" s="1563"/>
      <c r="DH785" s="1563"/>
      <c r="DI785" s="1564"/>
      <c r="DJ785" s="1562">
        <f>SUM(DJ781:DN784)</f>
        <v>0</v>
      </c>
      <c r="DK785" s="1563"/>
      <c r="DL785" s="1563"/>
      <c r="DM785" s="1563"/>
      <c r="DN785" s="1564"/>
      <c r="DO785" s="1562">
        <f>SUM(DO781:DS784)</f>
        <v>0</v>
      </c>
      <c r="DP785" s="1563"/>
      <c r="DQ785" s="1563"/>
      <c r="DR785" s="1563"/>
      <c r="DS785" s="1564"/>
      <c r="DU785" s="857">
        <f>CP785+CU785+CZ785+DE785+DJ785+DO785</f>
        <v>2</v>
      </c>
      <c r="DV785" s="57" t="s">
        <v>1832</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1834</v>
      </c>
    </row>
    <row r="787" spans="1:154" ht="12.9" customHeight="1">
      <c r="B787" s="56"/>
      <c r="C787" s="56"/>
      <c r="D787" s="56"/>
      <c r="E787" s="56"/>
      <c r="F787" s="56"/>
      <c r="G787" s="6"/>
      <c r="H787" s="6"/>
      <c r="I787" s="6"/>
      <c r="J787" s="1525" t="s">
        <v>669</v>
      </c>
      <c r="K787" s="1525"/>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418" t="s">
        <v>389</v>
      </c>
      <c r="K791" s="1419"/>
      <c r="L791" s="1419"/>
      <c r="M791" s="1419"/>
      <c r="N791" s="1420"/>
      <c r="O791" s="1738" t="s">
        <v>285</v>
      </c>
      <c r="P791" s="1738"/>
      <c r="Q791" s="1738"/>
      <c r="R791" s="1738"/>
      <c r="S791" s="1738"/>
      <c r="T791" s="1732" t="s">
        <v>1667</v>
      </c>
      <c r="U791" s="1733"/>
      <c r="V791" s="1733"/>
      <c r="W791" s="1734"/>
      <c r="X791" s="1418" t="s">
        <v>447</v>
      </c>
      <c r="Y791" s="1419"/>
      <c r="Z791" s="1419"/>
      <c r="AA791" s="1419"/>
      <c r="AB791" s="1420"/>
      <c r="AC791" s="1418" t="s">
        <v>286</v>
      </c>
      <c r="AD791" s="1419"/>
      <c r="AE791" s="1419"/>
      <c r="AF791" s="1419"/>
      <c r="AG791" s="142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21"/>
      <c r="K792" s="1422"/>
      <c r="L792" s="1422"/>
      <c r="M792" s="1422"/>
      <c r="N792" s="1423"/>
      <c r="O792" s="1738"/>
      <c r="P792" s="1738"/>
      <c r="Q792" s="1738"/>
      <c r="R792" s="1738"/>
      <c r="S792" s="1738"/>
      <c r="T792" s="1735"/>
      <c r="U792" s="1736"/>
      <c r="V792" s="1736"/>
      <c r="W792" s="1737"/>
      <c r="X792" s="1421"/>
      <c r="Y792" s="1422"/>
      <c r="Z792" s="1422"/>
      <c r="AA792" s="1422"/>
      <c r="AB792" s="1423"/>
      <c r="AC792" s="1421"/>
      <c r="AD792" s="1422"/>
      <c r="AE792" s="1422"/>
      <c r="AF792" s="1422"/>
      <c r="AG792" s="142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21"/>
      <c r="K793" s="1422"/>
      <c r="L793" s="1422"/>
      <c r="M793" s="1422"/>
      <c r="N793" s="1423"/>
      <c r="O793" s="1738"/>
      <c r="P793" s="1738"/>
      <c r="Q793" s="1738"/>
      <c r="R793" s="1738"/>
      <c r="S793" s="1738"/>
      <c r="T793" s="1735"/>
      <c r="U793" s="1736"/>
      <c r="V793" s="1736"/>
      <c r="W793" s="1737"/>
      <c r="X793" s="1421"/>
      <c r="Y793" s="1422"/>
      <c r="Z793" s="1422"/>
      <c r="AA793" s="1422"/>
      <c r="AB793" s="1423"/>
      <c r="AC793" s="1421"/>
      <c r="AD793" s="1422"/>
      <c r="AE793" s="1422"/>
      <c r="AF793" s="1422"/>
      <c r="AG793" s="142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24"/>
      <c r="K794" s="1425"/>
      <c r="L794" s="1425"/>
      <c r="M794" s="1425"/>
      <c r="N794" s="1426"/>
      <c r="O794" s="1738"/>
      <c r="P794" s="1738"/>
      <c r="Q794" s="1738"/>
      <c r="R794" s="1738"/>
      <c r="S794" s="1738"/>
      <c r="T794" s="1741"/>
      <c r="U794" s="1742"/>
      <c r="V794" s="1742"/>
      <c r="W794" s="1743"/>
      <c r="X794" s="1424"/>
      <c r="Y794" s="1425"/>
      <c r="Z794" s="1425"/>
      <c r="AA794" s="1425"/>
      <c r="AB794" s="1426"/>
      <c r="AC794" s="1424"/>
      <c r="AD794" s="1425"/>
      <c r="AE794" s="1425"/>
      <c r="AF794" s="1425"/>
      <c r="AG794" s="142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 customHeight="1">
      <c r="J795" s="1368"/>
      <c r="K795" s="1369"/>
      <c r="L795" s="1369"/>
      <c r="M795" s="1369"/>
      <c r="N795" s="1370"/>
      <c r="O795" s="1739"/>
      <c r="P795" s="1739"/>
      <c r="Q795" s="1739"/>
      <c r="R795" s="1739"/>
      <c r="S795" s="1739"/>
      <c r="T795" s="1365"/>
      <c r="U795" s="1366"/>
      <c r="V795" s="1366"/>
      <c r="W795" s="1367"/>
      <c r="X795" s="1404"/>
      <c r="Y795" s="1405"/>
      <c r="Z795" s="1405"/>
      <c r="AA795" s="1405"/>
      <c r="AB795" s="1406"/>
      <c r="AC795" s="1407">
        <f t="shared" ref="AC795:AC804" si="43">X795*O795</f>
        <v>0</v>
      </c>
      <c r="AD795" s="1403"/>
      <c r="AE795" s="1403"/>
      <c r="AF795" s="1403"/>
      <c r="AG795" s="140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55">
        <f t="shared" ref="CP795:CP804" si="44">IF(J795="SRO/Studio",O795,0)</f>
        <v>0</v>
      </c>
      <c r="CQ795" s="1556"/>
      <c r="CR795" s="1556"/>
      <c r="CS795" s="1556"/>
      <c r="CT795" s="1557"/>
      <c r="CU795" s="1555">
        <f t="shared" ref="CU795:CU804" si="45">IF(J795="1 Bedroom",O795,0)</f>
        <v>0</v>
      </c>
      <c r="CV795" s="1556"/>
      <c r="CW795" s="1556"/>
      <c r="CX795" s="1556"/>
      <c r="CY795" s="1557"/>
      <c r="CZ795" s="1555">
        <f t="shared" ref="CZ795:CZ804" si="46">IF(J795="2 Bedrooms",O795,0)</f>
        <v>0</v>
      </c>
      <c r="DA795" s="1556"/>
      <c r="DB795" s="1556"/>
      <c r="DC795" s="1556"/>
      <c r="DD795" s="1557"/>
      <c r="DE795" s="1555">
        <f t="shared" ref="DE795:DE804" si="47">IF(J795="3 Bedrooms",O795,0)</f>
        <v>0</v>
      </c>
      <c r="DF795" s="1556"/>
      <c r="DG795" s="1556"/>
      <c r="DH795" s="1556"/>
      <c r="DI795" s="1557"/>
      <c r="DJ795" s="1555">
        <f t="shared" ref="DJ795:DJ804" si="48">IF(J795="4 Bedrooms",O795,0)</f>
        <v>0</v>
      </c>
      <c r="DK795" s="1556"/>
      <c r="DL795" s="1556"/>
      <c r="DM795" s="1556"/>
      <c r="DN795" s="1557"/>
      <c r="DO795" s="1555">
        <f t="shared" ref="DO795:DO804" si="49">IF(J795="5 Bedrooms",O795,0)</f>
        <v>0</v>
      </c>
      <c r="DP795" s="1556"/>
      <c r="DQ795" s="1556"/>
      <c r="DR795" s="1556"/>
      <c r="DS795" s="1557"/>
      <c r="DT795" s="6"/>
      <c r="DU795" s="1555">
        <f t="shared" ref="DU795:DU804" si="50">IF(AND(CP795&gt;=1,AH795&gt;=0.1,AH795&lt;=1),O795,0)</f>
        <v>0</v>
      </c>
      <c r="DV795" s="1556"/>
      <c r="DW795" s="1556"/>
      <c r="DX795" s="1556"/>
      <c r="DY795" s="1557"/>
      <c r="DZ795" s="1555">
        <f t="shared" ref="DZ795:DZ804" si="51">IF(AND(CU795&gt;=1,AH795&gt;=0.1,AH795&lt;=1),O795,0)</f>
        <v>0</v>
      </c>
      <c r="EA795" s="1556"/>
      <c r="EB795" s="1556"/>
      <c r="EC795" s="1556"/>
      <c r="ED795" s="1557"/>
      <c r="EE795" s="1555">
        <f t="shared" ref="EE795:EE804" si="52">IF(AND(CZ795&gt;=1,AH795&gt;=0.1,AH795&lt;=1),O795,0)</f>
        <v>0</v>
      </c>
      <c r="EF795" s="1556"/>
      <c r="EG795" s="1556"/>
      <c r="EH795" s="1556"/>
      <c r="EI795" s="1557"/>
      <c r="EJ795" s="1555">
        <f t="shared" ref="EJ795:EJ804" si="53">IF(AND(DE795&gt;=1,AH795&gt;=0.1,AH795&lt;=1),O795,0)</f>
        <v>0</v>
      </c>
      <c r="EK795" s="1556"/>
      <c r="EL795" s="1556"/>
      <c r="EM795" s="1556"/>
      <c r="EN795" s="1557"/>
      <c r="EO795" s="1555">
        <f t="shared" ref="EO795:EO804" si="54">IF(AND(DJ795&gt;=1,AH795&gt;=0.1,AH795&lt;=1),O795,0)</f>
        <v>0</v>
      </c>
      <c r="EP795" s="1556"/>
      <c r="EQ795" s="1556"/>
      <c r="ER795" s="1556"/>
      <c r="ES795" s="1557"/>
      <c r="ET795" s="1555">
        <f t="shared" ref="ET795:ET804" si="55">IF(AND(DO795&gt;=1,AH795&gt;=0.1,AH795&lt;=1),O795,0)</f>
        <v>0</v>
      </c>
      <c r="EU795" s="1556"/>
      <c r="EV795" s="1556"/>
      <c r="EW795" s="1556"/>
      <c r="EX795" s="1557"/>
    </row>
    <row r="796" spans="1:154" s="14" customFormat="1" ht="12.9" customHeight="1">
      <c r="A796"/>
      <c r="B796"/>
      <c r="C796"/>
      <c r="D796"/>
      <c r="E796"/>
      <c r="F796"/>
      <c r="G796"/>
      <c r="H796"/>
      <c r="I796"/>
      <c r="J796" s="1368"/>
      <c r="K796" s="1369"/>
      <c r="L796" s="1369"/>
      <c r="M796" s="1369"/>
      <c r="N796" s="1370"/>
      <c r="O796" s="1739"/>
      <c r="P796" s="1739"/>
      <c r="Q796" s="1739"/>
      <c r="R796" s="1739"/>
      <c r="S796" s="1739"/>
      <c r="T796" s="1365"/>
      <c r="U796" s="1366"/>
      <c r="V796" s="1366"/>
      <c r="W796" s="1367"/>
      <c r="X796" s="1404"/>
      <c r="Y796" s="1405"/>
      <c r="Z796" s="1405"/>
      <c r="AA796" s="1405"/>
      <c r="AB796" s="1406"/>
      <c r="AC796" s="1407">
        <f t="shared" si="43"/>
        <v>0</v>
      </c>
      <c r="AD796" s="1403"/>
      <c r="AE796" s="1403"/>
      <c r="AF796" s="1403"/>
      <c r="AG796" s="140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55">
        <f t="shared" si="44"/>
        <v>0</v>
      </c>
      <c r="CQ796" s="1556"/>
      <c r="CR796" s="1556"/>
      <c r="CS796" s="1556"/>
      <c r="CT796" s="1557"/>
      <c r="CU796" s="1555">
        <f t="shared" si="45"/>
        <v>0</v>
      </c>
      <c r="CV796" s="1556"/>
      <c r="CW796" s="1556"/>
      <c r="CX796" s="1556"/>
      <c r="CY796" s="1557"/>
      <c r="CZ796" s="1555">
        <f t="shared" si="46"/>
        <v>0</v>
      </c>
      <c r="DA796" s="1556"/>
      <c r="DB796" s="1556"/>
      <c r="DC796" s="1556"/>
      <c r="DD796" s="1557"/>
      <c r="DE796" s="1555">
        <f t="shared" si="47"/>
        <v>0</v>
      </c>
      <c r="DF796" s="1556"/>
      <c r="DG796" s="1556"/>
      <c r="DH796" s="1556"/>
      <c r="DI796" s="1557"/>
      <c r="DJ796" s="1555">
        <f t="shared" si="48"/>
        <v>0</v>
      </c>
      <c r="DK796" s="1556"/>
      <c r="DL796" s="1556"/>
      <c r="DM796" s="1556"/>
      <c r="DN796" s="1557"/>
      <c r="DO796" s="1555">
        <f t="shared" si="49"/>
        <v>0</v>
      </c>
      <c r="DP796" s="1556"/>
      <c r="DQ796" s="1556"/>
      <c r="DR796" s="1556"/>
      <c r="DS796" s="1557"/>
      <c r="DT796" s="6"/>
      <c r="DU796" s="1555">
        <f t="shared" si="50"/>
        <v>0</v>
      </c>
      <c r="DV796" s="1556"/>
      <c r="DW796" s="1556"/>
      <c r="DX796" s="1556"/>
      <c r="DY796" s="1557"/>
      <c r="DZ796" s="1555">
        <f t="shared" si="51"/>
        <v>0</v>
      </c>
      <c r="EA796" s="1556"/>
      <c r="EB796" s="1556"/>
      <c r="EC796" s="1556"/>
      <c r="ED796" s="1557"/>
      <c r="EE796" s="1555">
        <f t="shared" si="52"/>
        <v>0</v>
      </c>
      <c r="EF796" s="1556"/>
      <c r="EG796" s="1556"/>
      <c r="EH796" s="1556"/>
      <c r="EI796" s="1557"/>
      <c r="EJ796" s="1555">
        <f t="shared" si="53"/>
        <v>0</v>
      </c>
      <c r="EK796" s="1556"/>
      <c r="EL796" s="1556"/>
      <c r="EM796" s="1556"/>
      <c r="EN796" s="1557"/>
      <c r="EO796" s="1555">
        <f t="shared" si="54"/>
        <v>0</v>
      </c>
      <c r="EP796" s="1556"/>
      <c r="EQ796" s="1556"/>
      <c r="ER796" s="1556"/>
      <c r="ES796" s="1557"/>
      <c r="ET796" s="1555">
        <f t="shared" si="55"/>
        <v>0</v>
      </c>
      <c r="EU796" s="1556"/>
      <c r="EV796" s="1556"/>
      <c r="EW796" s="1556"/>
      <c r="EX796" s="1557"/>
    </row>
    <row r="797" spans="1:154" s="14" customFormat="1" ht="12.9" customHeight="1">
      <c r="A797"/>
      <c r="B797"/>
      <c r="C797"/>
      <c r="D797"/>
      <c r="E797"/>
      <c r="F797"/>
      <c r="G797"/>
      <c r="H797"/>
      <c r="I797"/>
      <c r="J797" s="1368"/>
      <c r="K797" s="1369"/>
      <c r="L797" s="1369"/>
      <c r="M797" s="1369"/>
      <c r="N797" s="1370"/>
      <c r="O797" s="1739"/>
      <c r="P797" s="1739"/>
      <c r="Q797" s="1739"/>
      <c r="R797" s="1739"/>
      <c r="S797" s="1739"/>
      <c r="T797" s="1365"/>
      <c r="U797" s="1366"/>
      <c r="V797" s="1366"/>
      <c r="W797" s="1367"/>
      <c r="X797" s="1404"/>
      <c r="Y797" s="1405"/>
      <c r="Z797" s="1405"/>
      <c r="AA797" s="1405"/>
      <c r="AB797" s="1406"/>
      <c r="AC797" s="1407">
        <f t="shared" si="43"/>
        <v>0</v>
      </c>
      <c r="AD797" s="1403"/>
      <c r="AE797" s="1403"/>
      <c r="AF797" s="1403"/>
      <c r="AG797" s="140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55">
        <f t="shared" si="44"/>
        <v>0</v>
      </c>
      <c r="CQ797" s="1556"/>
      <c r="CR797" s="1556"/>
      <c r="CS797" s="1556"/>
      <c r="CT797" s="1557"/>
      <c r="CU797" s="1555">
        <f t="shared" si="45"/>
        <v>0</v>
      </c>
      <c r="CV797" s="1556"/>
      <c r="CW797" s="1556"/>
      <c r="CX797" s="1556"/>
      <c r="CY797" s="1557"/>
      <c r="CZ797" s="1555">
        <f t="shared" si="46"/>
        <v>0</v>
      </c>
      <c r="DA797" s="1556"/>
      <c r="DB797" s="1556"/>
      <c r="DC797" s="1556"/>
      <c r="DD797" s="1557"/>
      <c r="DE797" s="1555">
        <f t="shared" si="47"/>
        <v>0</v>
      </c>
      <c r="DF797" s="1556"/>
      <c r="DG797" s="1556"/>
      <c r="DH797" s="1556"/>
      <c r="DI797" s="1557"/>
      <c r="DJ797" s="1555">
        <f t="shared" si="48"/>
        <v>0</v>
      </c>
      <c r="DK797" s="1556"/>
      <c r="DL797" s="1556"/>
      <c r="DM797" s="1556"/>
      <c r="DN797" s="1557"/>
      <c r="DO797" s="1555">
        <f t="shared" si="49"/>
        <v>0</v>
      </c>
      <c r="DP797" s="1556"/>
      <c r="DQ797" s="1556"/>
      <c r="DR797" s="1556"/>
      <c r="DS797" s="1557"/>
      <c r="DT797" s="6"/>
      <c r="DU797" s="1555">
        <f t="shared" si="50"/>
        <v>0</v>
      </c>
      <c r="DV797" s="1556"/>
      <c r="DW797" s="1556"/>
      <c r="DX797" s="1556"/>
      <c r="DY797" s="1557"/>
      <c r="DZ797" s="1555">
        <f t="shared" si="51"/>
        <v>0</v>
      </c>
      <c r="EA797" s="1556"/>
      <c r="EB797" s="1556"/>
      <c r="EC797" s="1556"/>
      <c r="ED797" s="1557"/>
      <c r="EE797" s="1555">
        <f t="shared" si="52"/>
        <v>0</v>
      </c>
      <c r="EF797" s="1556"/>
      <c r="EG797" s="1556"/>
      <c r="EH797" s="1556"/>
      <c r="EI797" s="1557"/>
      <c r="EJ797" s="1555">
        <f t="shared" si="53"/>
        <v>0</v>
      </c>
      <c r="EK797" s="1556"/>
      <c r="EL797" s="1556"/>
      <c r="EM797" s="1556"/>
      <c r="EN797" s="1557"/>
      <c r="EO797" s="1555">
        <f t="shared" si="54"/>
        <v>0</v>
      </c>
      <c r="EP797" s="1556"/>
      <c r="EQ797" s="1556"/>
      <c r="ER797" s="1556"/>
      <c r="ES797" s="1557"/>
      <c r="ET797" s="1555">
        <f t="shared" si="55"/>
        <v>0</v>
      </c>
      <c r="EU797" s="1556"/>
      <c r="EV797" s="1556"/>
      <c r="EW797" s="1556"/>
      <c r="EX797" s="1557"/>
    </row>
    <row r="798" spans="1:154" s="14" customFormat="1" ht="12.9" customHeight="1">
      <c r="A798"/>
      <c r="B798"/>
      <c r="C798"/>
      <c r="D798"/>
      <c r="E798"/>
      <c r="F798"/>
      <c r="G798"/>
      <c r="H798"/>
      <c r="I798"/>
      <c r="J798" s="1368"/>
      <c r="K798" s="1369"/>
      <c r="L798" s="1369"/>
      <c r="M798" s="1369"/>
      <c r="N798" s="1370"/>
      <c r="O798" s="1739"/>
      <c r="P798" s="1739"/>
      <c r="Q798" s="1739"/>
      <c r="R798" s="1739"/>
      <c r="S798" s="1739"/>
      <c r="T798" s="1365"/>
      <c r="U798" s="1366"/>
      <c r="V798" s="1366"/>
      <c r="W798" s="1367"/>
      <c r="X798" s="1404"/>
      <c r="Y798" s="1405"/>
      <c r="Z798" s="1405"/>
      <c r="AA798" s="1405"/>
      <c r="AB798" s="1406"/>
      <c r="AC798" s="1407">
        <f t="shared" si="43"/>
        <v>0</v>
      </c>
      <c r="AD798" s="1403"/>
      <c r="AE798" s="1403"/>
      <c r="AF798" s="1403"/>
      <c r="AG798" s="140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55">
        <f t="shared" si="44"/>
        <v>0</v>
      </c>
      <c r="CQ798" s="1556"/>
      <c r="CR798" s="1556"/>
      <c r="CS798" s="1556"/>
      <c r="CT798" s="1557"/>
      <c r="CU798" s="1555">
        <f t="shared" si="45"/>
        <v>0</v>
      </c>
      <c r="CV798" s="1556"/>
      <c r="CW798" s="1556"/>
      <c r="CX798" s="1556"/>
      <c r="CY798" s="1557"/>
      <c r="CZ798" s="1555">
        <f t="shared" si="46"/>
        <v>0</v>
      </c>
      <c r="DA798" s="1556"/>
      <c r="DB798" s="1556"/>
      <c r="DC798" s="1556"/>
      <c r="DD798" s="1557"/>
      <c r="DE798" s="1555">
        <f t="shared" si="47"/>
        <v>0</v>
      </c>
      <c r="DF798" s="1556"/>
      <c r="DG798" s="1556"/>
      <c r="DH798" s="1556"/>
      <c r="DI798" s="1557"/>
      <c r="DJ798" s="1555">
        <f t="shared" si="48"/>
        <v>0</v>
      </c>
      <c r="DK798" s="1556"/>
      <c r="DL798" s="1556"/>
      <c r="DM798" s="1556"/>
      <c r="DN798" s="1557"/>
      <c r="DO798" s="1555">
        <f t="shared" si="49"/>
        <v>0</v>
      </c>
      <c r="DP798" s="1556"/>
      <c r="DQ798" s="1556"/>
      <c r="DR798" s="1556"/>
      <c r="DS798" s="1557"/>
      <c r="DT798" s="6"/>
      <c r="DU798" s="1555">
        <f t="shared" si="50"/>
        <v>0</v>
      </c>
      <c r="DV798" s="1556"/>
      <c r="DW798" s="1556"/>
      <c r="DX798" s="1556"/>
      <c r="DY798" s="1557"/>
      <c r="DZ798" s="1555">
        <f t="shared" si="51"/>
        <v>0</v>
      </c>
      <c r="EA798" s="1556"/>
      <c r="EB798" s="1556"/>
      <c r="EC798" s="1556"/>
      <c r="ED798" s="1557"/>
      <c r="EE798" s="1555">
        <f t="shared" si="52"/>
        <v>0</v>
      </c>
      <c r="EF798" s="1556"/>
      <c r="EG798" s="1556"/>
      <c r="EH798" s="1556"/>
      <c r="EI798" s="1557"/>
      <c r="EJ798" s="1555">
        <f t="shared" si="53"/>
        <v>0</v>
      </c>
      <c r="EK798" s="1556"/>
      <c r="EL798" s="1556"/>
      <c r="EM798" s="1556"/>
      <c r="EN798" s="1557"/>
      <c r="EO798" s="1555">
        <f t="shared" si="54"/>
        <v>0</v>
      </c>
      <c r="EP798" s="1556"/>
      <c r="EQ798" s="1556"/>
      <c r="ER798" s="1556"/>
      <c r="ES798" s="1557"/>
      <c r="ET798" s="1555">
        <f t="shared" si="55"/>
        <v>0</v>
      </c>
      <c r="EU798" s="1556"/>
      <c r="EV798" s="1556"/>
      <c r="EW798" s="1556"/>
      <c r="EX798" s="1557"/>
    </row>
    <row r="799" spans="1:154" s="14" customFormat="1" ht="12.9" customHeight="1">
      <c r="A799"/>
      <c r="B799"/>
      <c r="C799"/>
      <c r="D799"/>
      <c r="E799"/>
      <c r="F799"/>
      <c r="G799"/>
      <c r="H799"/>
      <c r="I799"/>
      <c r="J799" s="1368"/>
      <c r="K799" s="1369"/>
      <c r="L799" s="1369"/>
      <c r="M799" s="1369"/>
      <c r="N799" s="1370"/>
      <c r="O799" s="1739"/>
      <c r="P799" s="1739"/>
      <c r="Q799" s="1739"/>
      <c r="R799" s="1739"/>
      <c r="S799" s="1739"/>
      <c r="T799" s="1365"/>
      <c r="U799" s="1366"/>
      <c r="V799" s="1366"/>
      <c r="W799" s="1367"/>
      <c r="X799" s="1404"/>
      <c r="Y799" s="1405"/>
      <c r="Z799" s="1405"/>
      <c r="AA799" s="1405"/>
      <c r="AB799" s="1406"/>
      <c r="AC799" s="1407">
        <f t="shared" si="43"/>
        <v>0</v>
      </c>
      <c r="AD799" s="1403"/>
      <c r="AE799" s="1403"/>
      <c r="AF799" s="1403"/>
      <c r="AG799" s="140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55">
        <f t="shared" si="44"/>
        <v>0</v>
      </c>
      <c r="CQ799" s="1556"/>
      <c r="CR799" s="1556"/>
      <c r="CS799" s="1556"/>
      <c r="CT799" s="1557"/>
      <c r="CU799" s="1555">
        <f t="shared" si="45"/>
        <v>0</v>
      </c>
      <c r="CV799" s="1556"/>
      <c r="CW799" s="1556"/>
      <c r="CX799" s="1556"/>
      <c r="CY799" s="1557"/>
      <c r="CZ799" s="1555">
        <f t="shared" si="46"/>
        <v>0</v>
      </c>
      <c r="DA799" s="1556"/>
      <c r="DB799" s="1556"/>
      <c r="DC799" s="1556"/>
      <c r="DD799" s="1557"/>
      <c r="DE799" s="1555">
        <f t="shared" si="47"/>
        <v>0</v>
      </c>
      <c r="DF799" s="1556"/>
      <c r="DG799" s="1556"/>
      <c r="DH799" s="1556"/>
      <c r="DI799" s="1557"/>
      <c r="DJ799" s="1555">
        <f t="shared" si="48"/>
        <v>0</v>
      </c>
      <c r="DK799" s="1556"/>
      <c r="DL799" s="1556"/>
      <c r="DM799" s="1556"/>
      <c r="DN799" s="1557"/>
      <c r="DO799" s="1555">
        <f t="shared" si="49"/>
        <v>0</v>
      </c>
      <c r="DP799" s="1556"/>
      <c r="DQ799" s="1556"/>
      <c r="DR799" s="1556"/>
      <c r="DS799" s="1557"/>
      <c r="DT799" s="6"/>
      <c r="DU799" s="1555">
        <f t="shared" si="50"/>
        <v>0</v>
      </c>
      <c r="DV799" s="1556"/>
      <c r="DW799" s="1556"/>
      <c r="DX799" s="1556"/>
      <c r="DY799" s="1557"/>
      <c r="DZ799" s="1555">
        <f t="shared" si="51"/>
        <v>0</v>
      </c>
      <c r="EA799" s="1556"/>
      <c r="EB799" s="1556"/>
      <c r="EC799" s="1556"/>
      <c r="ED799" s="1557"/>
      <c r="EE799" s="1555">
        <f t="shared" si="52"/>
        <v>0</v>
      </c>
      <c r="EF799" s="1556"/>
      <c r="EG799" s="1556"/>
      <c r="EH799" s="1556"/>
      <c r="EI799" s="1557"/>
      <c r="EJ799" s="1555">
        <f t="shared" si="53"/>
        <v>0</v>
      </c>
      <c r="EK799" s="1556"/>
      <c r="EL799" s="1556"/>
      <c r="EM799" s="1556"/>
      <c r="EN799" s="1557"/>
      <c r="EO799" s="1555">
        <f t="shared" si="54"/>
        <v>0</v>
      </c>
      <c r="EP799" s="1556"/>
      <c r="EQ799" s="1556"/>
      <c r="ER799" s="1556"/>
      <c r="ES799" s="1557"/>
      <c r="ET799" s="1555">
        <f t="shared" si="55"/>
        <v>0</v>
      </c>
      <c r="EU799" s="1556"/>
      <c r="EV799" s="1556"/>
      <c r="EW799" s="1556"/>
      <c r="EX799" s="1557"/>
    </row>
    <row r="800" spans="1:154" s="14" customFormat="1" ht="12.9" customHeight="1">
      <c r="A800"/>
      <c r="B800"/>
      <c r="C800"/>
      <c r="D800"/>
      <c r="E800"/>
      <c r="F800"/>
      <c r="G800"/>
      <c r="H800"/>
      <c r="I800"/>
      <c r="J800" s="1368"/>
      <c r="K800" s="1369"/>
      <c r="L800" s="1369"/>
      <c r="M800" s="1369"/>
      <c r="N800" s="1370"/>
      <c r="O800" s="1739"/>
      <c r="P800" s="1739"/>
      <c r="Q800" s="1739"/>
      <c r="R800" s="1739"/>
      <c r="S800" s="1739"/>
      <c r="T800" s="1365"/>
      <c r="U800" s="1366"/>
      <c r="V800" s="1366"/>
      <c r="W800" s="1367"/>
      <c r="X800" s="1404"/>
      <c r="Y800" s="1405"/>
      <c r="Z800" s="1405"/>
      <c r="AA800" s="1405"/>
      <c r="AB800" s="1406"/>
      <c r="AC800" s="1407">
        <f t="shared" si="43"/>
        <v>0</v>
      </c>
      <c r="AD800" s="1403"/>
      <c r="AE800" s="1403"/>
      <c r="AF800" s="1403"/>
      <c r="AG800" s="140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55">
        <f t="shared" si="44"/>
        <v>0</v>
      </c>
      <c r="CQ800" s="1556"/>
      <c r="CR800" s="1556"/>
      <c r="CS800" s="1556"/>
      <c r="CT800" s="1557"/>
      <c r="CU800" s="1555">
        <f t="shared" si="45"/>
        <v>0</v>
      </c>
      <c r="CV800" s="1556"/>
      <c r="CW800" s="1556"/>
      <c r="CX800" s="1556"/>
      <c r="CY800" s="1557"/>
      <c r="CZ800" s="1555">
        <f t="shared" si="46"/>
        <v>0</v>
      </c>
      <c r="DA800" s="1556"/>
      <c r="DB800" s="1556"/>
      <c r="DC800" s="1556"/>
      <c r="DD800" s="1557"/>
      <c r="DE800" s="1555">
        <f t="shared" si="47"/>
        <v>0</v>
      </c>
      <c r="DF800" s="1556"/>
      <c r="DG800" s="1556"/>
      <c r="DH800" s="1556"/>
      <c r="DI800" s="1557"/>
      <c r="DJ800" s="1555">
        <f t="shared" si="48"/>
        <v>0</v>
      </c>
      <c r="DK800" s="1556"/>
      <c r="DL800" s="1556"/>
      <c r="DM800" s="1556"/>
      <c r="DN800" s="1557"/>
      <c r="DO800" s="1555">
        <f t="shared" si="49"/>
        <v>0</v>
      </c>
      <c r="DP800" s="1556"/>
      <c r="DQ800" s="1556"/>
      <c r="DR800" s="1556"/>
      <c r="DS800" s="1557"/>
      <c r="DT800" s="6"/>
      <c r="DU800" s="1555">
        <f t="shared" si="50"/>
        <v>0</v>
      </c>
      <c r="DV800" s="1556"/>
      <c r="DW800" s="1556"/>
      <c r="DX800" s="1556"/>
      <c r="DY800" s="1557"/>
      <c r="DZ800" s="1555">
        <f t="shared" si="51"/>
        <v>0</v>
      </c>
      <c r="EA800" s="1556"/>
      <c r="EB800" s="1556"/>
      <c r="EC800" s="1556"/>
      <c r="ED800" s="1557"/>
      <c r="EE800" s="1555">
        <f t="shared" si="52"/>
        <v>0</v>
      </c>
      <c r="EF800" s="1556"/>
      <c r="EG800" s="1556"/>
      <c r="EH800" s="1556"/>
      <c r="EI800" s="1557"/>
      <c r="EJ800" s="1555">
        <f t="shared" si="53"/>
        <v>0</v>
      </c>
      <c r="EK800" s="1556"/>
      <c r="EL800" s="1556"/>
      <c r="EM800" s="1556"/>
      <c r="EN800" s="1557"/>
      <c r="EO800" s="1555">
        <f t="shared" si="54"/>
        <v>0</v>
      </c>
      <c r="EP800" s="1556"/>
      <c r="EQ800" s="1556"/>
      <c r="ER800" s="1556"/>
      <c r="ES800" s="1557"/>
      <c r="ET800" s="1555">
        <f t="shared" si="55"/>
        <v>0</v>
      </c>
      <c r="EU800" s="1556"/>
      <c r="EV800" s="1556"/>
      <c r="EW800" s="1556"/>
      <c r="EX800" s="1557"/>
    </row>
    <row r="801" spans="1:154" s="14" customFormat="1" ht="12.9" customHeight="1">
      <c r="A801"/>
      <c r="B801"/>
      <c r="C801"/>
      <c r="D801"/>
      <c r="E801"/>
      <c r="F801"/>
      <c r="G801"/>
      <c r="H801"/>
      <c r="I801"/>
      <c r="J801" s="1368"/>
      <c r="K801" s="1369"/>
      <c r="L801" s="1369"/>
      <c r="M801" s="1369"/>
      <c r="N801" s="1370"/>
      <c r="O801" s="1739"/>
      <c r="P801" s="1739"/>
      <c r="Q801" s="1739"/>
      <c r="R801" s="1739"/>
      <c r="S801" s="1739"/>
      <c r="T801" s="1365"/>
      <c r="U801" s="1366"/>
      <c r="V801" s="1366"/>
      <c r="W801" s="1367"/>
      <c r="X801" s="1404"/>
      <c r="Y801" s="1405"/>
      <c r="Z801" s="1405"/>
      <c r="AA801" s="1405"/>
      <c r="AB801" s="1406"/>
      <c r="AC801" s="1407">
        <f t="shared" si="43"/>
        <v>0</v>
      </c>
      <c r="AD801" s="1403"/>
      <c r="AE801" s="1403"/>
      <c r="AF801" s="1403"/>
      <c r="AG801" s="140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55">
        <f t="shared" si="44"/>
        <v>0</v>
      </c>
      <c r="CQ801" s="1556"/>
      <c r="CR801" s="1556"/>
      <c r="CS801" s="1556"/>
      <c r="CT801" s="1557"/>
      <c r="CU801" s="1555">
        <f t="shared" si="45"/>
        <v>0</v>
      </c>
      <c r="CV801" s="1556"/>
      <c r="CW801" s="1556"/>
      <c r="CX801" s="1556"/>
      <c r="CY801" s="1557"/>
      <c r="CZ801" s="1555">
        <f t="shared" si="46"/>
        <v>0</v>
      </c>
      <c r="DA801" s="1556"/>
      <c r="DB801" s="1556"/>
      <c r="DC801" s="1556"/>
      <c r="DD801" s="1557"/>
      <c r="DE801" s="1555">
        <f t="shared" si="47"/>
        <v>0</v>
      </c>
      <c r="DF801" s="1556"/>
      <c r="DG801" s="1556"/>
      <c r="DH801" s="1556"/>
      <c r="DI801" s="1557"/>
      <c r="DJ801" s="1555">
        <f t="shared" si="48"/>
        <v>0</v>
      </c>
      <c r="DK801" s="1556"/>
      <c r="DL801" s="1556"/>
      <c r="DM801" s="1556"/>
      <c r="DN801" s="1557"/>
      <c r="DO801" s="1555">
        <f t="shared" si="49"/>
        <v>0</v>
      </c>
      <c r="DP801" s="1556"/>
      <c r="DQ801" s="1556"/>
      <c r="DR801" s="1556"/>
      <c r="DS801" s="1557"/>
      <c r="DT801" s="6"/>
      <c r="DU801" s="1555">
        <f t="shared" si="50"/>
        <v>0</v>
      </c>
      <c r="DV801" s="1556"/>
      <c r="DW801" s="1556"/>
      <c r="DX801" s="1556"/>
      <c r="DY801" s="1557"/>
      <c r="DZ801" s="1555">
        <f t="shared" si="51"/>
        <v>0</v>
      </c>
      <c r="EA801" s="1556"/>
      <c r="EB801" s="1556"/>
      <c r="EC801" s="1556"/>
      <c r="ED801" s="1557"/>
      <c r="EE801" s="1555">
        <f t="shared" si="52"/>
        <v>0</v>
      </c>
      <c r="EF801" s="1556"/>
      <c r="EG801" s="1556"/>
      <c r="EH801" s="1556"/>
      <c r="EI801" s="1557"/>
      <c r="EJ801" s="1555">
        <f t="shared" si="53"/>
        <v>0</v>
      </c>
      <c r="EK801" s="1556"/>
      <c r="EL801" s="1556"/>
      <c r="EM801" s="1556"/>
      <c r="EN801" s="1557"/>
      <c r="EO801" s="1555">
        <f t="shared" si="54"/>
        <v>0</v>
      </c>
      <c r="EP801" s="1556"/>
      <c r="EQ801" s="1556"/>
      <c r="ER801" s="1556"/>
      <c r="ES801" s="1557"/>
      <c r="ET801" s="1555">
        <f t="shared" si="55"/>
        <v>0</v>
      </c>
      <c r="EU801" s="1556"/>
      <c r="EV801" s="1556"/>
      <c r="EW801" s="1556"/>
      <c r="EX801" s="1557"/>
    </row>
    <row r="802" spans="1:154" s="14" customFormat="1" ht="12.9" customHeight="1">
      <c r="A802"/>
      <c r="B802"/>
      <c r="C802"/>
      <c r="D802"/>
      <c r="E802"/>
      <c r="F802"/>
      <c r="G802"/>
      <c r="H802"/>
      <c r="I802"/>
      <c r="J802" s="1368"/>
      <c r="K802" s="1369"/>
      <c r="L802" s="1369"/>
      <c r="M802" s="1369"/>
      <c r="N802" s="1370"/>
      <c r="O802" s="1739"/>
      <c r="P802" s="1739"/>
      <c r="Q802" s="1739"/>
      <c r="R802" s="1739"/>
      <c r="S802" s="1739"/>
      <c r="T802" s="1365"/>
      <c r="U802" s="1366"/>
      <c r="V802" s="1366"/>
      <c r="W802" s="1367"/>
      <c r="X802" s="1404"/>
      <c r="Y802" s="1405"/>
      <c r="Z802" s="1405"/>
      <c r="AA802" s="1405"/>
      <c r="AB802" s="1406"/>
      <c r="AC802" s="1407">
        <f t="shared" si="43"/>
        <v>0</v>
      </c>
      <c r="AD802" s="1403"/>
      <c r="AE802" s="1403"/>
      <c r="AF802" s="1403"/>
      <c r="AG802" s="140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55">
        <f t="shared" si="44"/>
        <v>0</v>
      </c>
      <c r="CQ802" s="1556"/>
      <c r="CR802" s="1556"/>
      <c r="CS802" s="1556"/>
      <c r="CT802" s="1557"/>
      <c r="CU802" s="1555">
        <f t="shared" si="45"/>
        <v>0</v>
      </c>
      <c r="CV802" s="1556"/>
      <c r="CW802" s="1556"/>
      <c r="CX802" s="1556"/>
      <c r="CY802" s="1557"/>
      <c r="CZ802" s="1555">
        <f t="shared" si="46"/>
        <v>0</v>
      </c>
      <c r="DA802" s="1556"/>
      <c r="DB802" s="1556"/>
      <c r="DC802" s="1556"/>
      <c r="DD802" s="1557"/>
      <c r="DE802" s="1555">
        <f t="shared" si="47"/>
        <v>0</v>
      </c>
      <c r="DF802" s="1556"/>
      <c r="DG802" s="1556"/>
      <c r="DH802" s="1556"/>
      <c r="DI802" s="1557"/>
      <c r="DJ802" s="1555">
        <f t="shared" si="48"/>
        <v>0</v>
      </c>
      <c r="DK802" s="1556"/>
      <c r="DL802" s="1556"/>
      <c r="DM802" s="1556"/>
      <c r="DN802" s="1557"/>
      <c r="DO802" s="1555">
        <f t="shared" si="49"/>
        <v>0</v>
      </c>
      <c r="DP802" s="1556"/>
      <c r="DQ802" s="1556"/>
      <c r="DR802" s="1556"/>
      <c r="DS802" s="1557"/>
      <c r="DT802" s="6"/>
      <c r="DU802" s="1555">
        <f t="shared" si="50"/>
        <v>0</v>
      </c>
      <c r="DV802" s="1556"/>
      <c r="DW802" s="1556"/>
      <c r="DX802" s="1556"/>
      <c r="DY802" s="1557"/>
      <c r="DZ802" s="1555">
        <f t="shared" si="51"/>
        <v>0</v>
      </c>
      <c r="EA802" s="1556"/>
      <c r="EB802" s="1556"/>
      <c r="EC802" s="1556"/>
      <c r="ED802" s="1557"/>
      <c r="EE802" s="1555">
        <f t="shared" si="52"/>
        <v>0</v>
      </c>
      <c r="EF802" s="1556"/>
      <c r="EG802" s="1556"/>
      <c r="EH802" s="1556"/>
      <c r="EI802" s="1557"/>
      <c r="EJ802" s="1555">
        <f t="shared" si="53"/>
        <v>0</v>
      </c>
      <c r="EK802" s="1556"/>
      <c r="EL802" s="1556"/>
      <c r="EM802" s="1556"/>
      <c r="EN802" s="1557"/>
      <c r="EO802" s="1555">
        <f t="shared" si="54"/>
        <v>0</v>
      </c>
      <c r="EP802" s="1556"/>
      <c r="EQ802" s="1556"/>
      <c r="ER802" s="1556"/>
      <c r="ES802" s="1557"/>
      <c r="ET802" s="1555">
        <f t="shared" si="55"/>
        <v>0</v>
      </c>
      <c r="EU802" s="1556"/>
      <c r="EV802" s="1556"/>
      <c r="EW802" s="1556"/>
      <c r="EX802" s="1557"/>
    </row>
    <row r="803" spans="1:154" s="14" customFormat="1" ht="12.9" customHeight="1">
      <c r="A803"/>
      <c r="B803"/>
      <c r="C803"/>
      <c r="D803"/>
      <c r="E803"/>
      <c r="F803"/>
      <c r="G803"/>
      <c r="H803"/>
      <c r="I803"/>
      <c r="J803" s="1368"/>
      <c r="K803" s="1369"/>
      <c r="L803" s="1369"/>
      <c r="M803" s="1369"/>
      <c r="N803" s="1370"/>
      <c r="O803" s="1739"/>
      <c r="P803" s="1739"/>
      <c r="Q803" s="1739"/>
      <c r="R803" s="1739"/>
      <c r="S803" s="1739"/>
      <c r="T803" s="1365"/>
      <c r="U803" s="1366"/>
      <c r="V803" s="1366"/>
      <c r="W803" s="1367"/>
      <c r="X803" s="1404"/>
      <c r="Y803" s="1405"/>
      <c r="Z803" s="1405"/>
      <c r="AA803" s="1405"/>
      <c r="AB803" s="1406"/>
      <c r="AC803" s="1407">
        <f t="shared" si="43"/>
        <v>0</v>
      </c>
      <c r="AD803" s="1403"/>
      <c r="AE803" s="1403"/>
      <c r="AF803" s="1403"/>
      <c r="AG803" s="140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55">
        <f t="shared" si="44"/>
        <v>0</v>
      </c>
      <c r="CQ803" s="1556"/>
      <c r="CR803" s="1556"/>
      <c r="CS803" s="1556"/>
      <c r="CT803" s="1557"/>
      <c r="CU803" s="1555">
        <f t="shared" si="45"/>
        <v>0</v>
      </c>
      <c r="CV803" s="1556"/>
      <c r="CW803" s="1556"/>
      <c r="CX803" s="1556"/>
      <c r="CY803" s="1557"/>
      <c r="CZ803" s="1555">
        <f t="shared" si="46"/>
        <v>0</v>
      </c>
      <c r="DA803" s="1556"/>
      <c r="DB803" s="1556"/>
      <c r="DC803" s="1556"/>
      <c r="DD803" s="1557"/>
      <c r="DE803" s="1555">
        <f t="shared" si="47"/>
        <v>0</v>
      </c>
      <c r="DF803" s="1556"/>
      <c r="DG803" s="1556"/>
      <c r="DH803" s="1556"/>
      <c r="DI803" s="1557"/>
      <c r="DJ803" s="1555">
        <f t="shared" si="48"/>
        <v>0</v>
      </c>
      <c r="DK803" s="1556"/>
      <c r="DL803" s="1556"/>
      <c r="DM803" s="1556"/>
      <c r="DN803" s="1557"/>
      <c r="DO803" s="1555">
        <f t="shared" si="49"/>
        <v>0</v>
      </c>
      <c r="DP803" s="1556"/>
      <c r="DQ803" s="1556"/>
      <c r="DR803" s="1556"/>
      <c r="DS803" s="1557"/>
      <c r="DT803" s="6"/>
      <c r="DU803" s="1555">
        <f t="shared" si="50"/>
        <v>0</v>
      </c>
      <c r="DV803" s="1556"/>
      <c r="DW803" s="1556"/>
      <c r="DX803" s="1556"/>
      <c r="DY803" s="1557"/>
      <c r="DZ803" s="1555">
        <f t="shared" si="51"/>
        <v>0</v>
      </c>
      <c r="EA803" s="1556"/>
      <c r="EB803" s="1556"/>
      <c r="EC803" s="1556"/>
      <c r="ED803" s="1557"/>
      <c r="EE803" s="1555">
        <f t="shared" si="52"/>
        <v>0</v>
      </c>
      <c r="EF803" s="1556"/>
      <c r="EG803" s="1556"/>
      <c r="EH803" s="1556"/>
      <c r="EI803" s="1557"/>
      <c r="EJ803" s="1555">
        <f t="shared" si="53"/>
        <v>0</v>
      </c>
      <c r="EK803" s="1556"/>
      <c r="EL803" s="1556"/>
      <c r="EM803" s="1556"/>
      <c r="EN803" s="1557"/>
      <c r="EO803" s="1555">
        <f t="shared" si="54"/>
        <v>0</v>
      </c>
      <c r="EP803" s="1556"/>
      <c r="EQ803" s="1556"/>
      <c r="ER803" s="1556"/>
      <c r="ES803" s="1557"/>
      <c r="ET803" s="1555">
        <f t="shared" si="55"/>
        <v>0</v>
      </c>
      <c r="EU803" s="1556"/>
      <c r="EV803" s="1556"/>
      <c r="EW803" s="1556"/>
      <c r="EX803" s="1557"/>
    </row>
    <row r="804" spans="1:154" s="4" customFormat="1" ht="12.9" customHeight="1">
      <c r="A804"/>
      <c r="B804"/>
      <c r="C804"/>
      <c r="D804"/>
      <c r="E804"/>
      <c r="F804"/>
      <c r="G804"/>
      <c r="H804"/>
      <c r="I804"/>
      <c r="J804" s="1368"/>
      <c r="K804" s="1369"/>
      <c r="L804" s="1369"/>
      <c r="M804" s="1369"/>
      <c r="N804" s="1370"/>
      <c r="O804" s="1739"/>
      <c r="P804" s="1739"/>
      <c r="Q804" s="1739"/>
      <c r="R804" s="1739"/>
      <c r="S804" s="1739"/>
      <c r="T804" s="1365"/>
      <c r="U804" s="1366"/>
      <c r="V804" s="1366"/>
      <c r="W804" s="1367"/>
      <c r="X804" s="1404"/>
      <c r="Y804" s="1405"/>
      <c r="Z804" s="1405"/>
      <c r="AA804" s="1405"/>
      <c r="AB804" s="1406"/>
      <c r="AC804" s="1407">
        <f t="shared" si="43"/>
        <v>0</v>
      </c>
      <c r="AD804" s="1403"/>
      <c r="AE804" s="1403"/>
      <c r="AF804" s="1403"/>
      <c r="AG804" s="1408"/>
      <c r="AH804"/>
      <c r="AI804"/>
      <c r="AJ804"/>
      <c r="AK804"/>
      <c r="AL804"/>
      <c r="AM804"/>
      <c r="AN804"/>
      <c r="AO804"/>
      <c r="AP804"/>
      <c r="AQ804"/>
      <c r="AR804"/>
      <c r="AS804"/>
      <c r="AT804"/>
      <c r="AU804"/>
      <c r="AV804"/>
      <c r="AW804"/>
      <c r="AX804"/>
      <c r="AY804"/>
      <c r="AZ804" s="3"/>
      <c r="CP804" s="1555">
        <f t="shared" si="44"/>
        <v>0</v>
      </c>
      <c r="CQ804" s="1556"/>
      <c r="CR804" s="1556"/>
      <c r="CS804" s="1556"/>
      <c r="CT804" s="1557"/>
      <c r="CU804" s="1555">
        <f t="shared" si="45"/>
        <v>0</v>
      </c>
      <c r="CV804" s="1556"/>
      <c r="CW804" s="1556"/>
      <c r="CX804" s="1556"/>
      <c r="CY804" s="1557"/>
      <c r="CZ804" s="1555">
        <f t="shared" si="46"/>
        <v>0</v>
      </c>
      <c r="DA804" s="1556"/>
      <c r="DB804" s="1556"/>
      <c r="DC804" s="1556"/>
      <c r="DD804" s="1557"/>
      <c r="DE804" s="1555">
        <f t="shared" si="47"/>
        <v>0</v>
      </c>
      <c r="DF804" s="1556"/>
      <c r="DG804" s="1556"/>
      <c r="DH804" s="1556"/>
      <c r="DI804" s="1557"/>
      <c r="DJ804" s="1555">
        <f t="shared" si="48"/>
        <v>0</v>
      </c>
      <c r="DK804" s="1556"/>
      <c r="DL804" s="1556"/>
      <c r="DM804" s="1556"/>
      <c r="DN804" s="1557"/>
      <c r="DO804" s="1555">
        <f t="shared" si="49"/>
        <v>0</v>
      </c>
      <c r="DP804" s="1556"/>
      <c r="DQ804" s="1556"/>
      <c r="DR804" s="1556"/>
      <c r="DS804" s="1557"/>
      <c r="DT804" s="6"/>
      <c r="DU804" s="1555">
        <f t="shared" si="50"/>
        <v>0</v>
      </c>
      <c r="DV804" s="1556"/>
      <c r="DW804" s="1556"/>
      <c r="DX804" s="1556"/>
      <c r="DY804" s="1557"/>
      <c r="DZ804" s="1555">
        <f t="shared" si="51"/>
        <v>0</v>
      </c>
      <c r="EA804" s="1556"/>
      <c r="EB804" s="1556"/>
      <c r="EC804" s="1556"/>
      <c r="ED804" s="1557"/>
      <c r="EE804" s="1555">
        <f t="shared" si="52"/>
        <v>0</v>
      </c>
      <c r="EF804" s="1556"/>
      <c r="EG804" s="1556"/>
      <c r="EH804" s="1556"/>
      <c r="EI804" s="1557"/>
      <c r="EJ804" s="1555">
        <f t="shared" si="53"/>
        <v>0</v>
      </c>
      <c r="EK804" s="1556"/>
      <c r="EL804" s="1556"/>
      <c r="EM804" s="1556"/>
      <c r="EN804" s="1557"/>
      <c r="EO804" s="1555">
        <f t="shared" si="54"/>
        <v>0</v>
      </c>
      <c r="EP804" s="1556"/>
      <c r="EQ804" s="1556"/>
      <c r="ER804" s="1556"/>
      <c r="ES804" s="1557"/>
      <c r="ET804" s="1555">
        <f t="shared" si="55"/>
        <v>0</v>
      </c>
      <c r="EU804" s="1556"/>
      <c r="EV804" s="1556"/>
      <c r="EW804" s="1556"/>
      <c r="EX804" s="1557"/>
    </row>
    <row r="805" spans="1:154" s="4" customFormat="1" ht="12.9" customHeight="1">
      <c r="A805"/>
      <c r="B805"/>
      <c r="C805"/>
      <c r="D805"/>
      <c r="E805"/>
      <c r="F805"/>
      <c r="G805"/>
      <c r="H805"/>
      <c r="I805"/>
      <c r="J805" s="1537" t="s">
        <v>125</v>
      </c>
      <c r="K805" s="1538"/>
      <c r="L805" s="1538"/>
      <c r="M805" s="1538"/>
      <c r="N805" s="1539"/>
      <c r="O805" s="1740">
        <f>SUM(O795:S804)</f>
        <v>0</v>
      </c>
      <c r="P805" s="1740"/>
      <c r="Q805" s="1740"/>
      <c r="R805" s="1740"/>
      <c r="S805" s="1740"/>
      <c r="T805"/>
      <c r="U805"/>
      <c r="V805"/>
      <c r="W805"/>
      <c r="X805" s="898" t="s">
        <v>124</v>
      </c>
      <c r="Y805" s="11"/>
      <c r="Z805" s="11"/>
      <c r="AA805" s="11"/>
      <c r="AB805" s="905"/>
      <c r="AC805" s="1407">
        <f>SUM(AC795:AG804)</f>
        <v>0</v>
      </c>
      <c r="AD805" s="1403"/>
      <c r="AE805" s="1403"/>
      <c r="AF805" s="1403"/>
      <c r="AG805" s="1408"/>
      <c r="AH805"/>
      <c r="AI805"/>
      <c r="AJ805"/>
      <c r="AK805"/>
      <c r="AL805"/>
      <c r="AM805"/>
      <c r="AN805"/>
      <c r="AO805"/>
      <c r="AP805"/>
      <c r="AQ805"/>
      <c r="AR805"/>
      <c r="AS805"/>
      <c r="AT805"/>
      <c r="AU805"/>
      <c r="AV805"/>
      <c r="AW805"/>
      <c r="AX805"/>
      <c r="AY805"/>
      <c r="AZ805" s="3"/>
      <c r="BA805"/>
      <c r="CP805" s="1693">
        <f>SUM(CP795:CT804)</f>
        <v>0</v>
      </c>
      <c r="CQ805" s="1745"/>
      <c r="CR805" s="1745"/>
      <c r="CS805" s="1745"/>
      <c r="CT805" s="1694"/>
      <c r="CU805" s="1562">
        <f>SUM(CU795:CY804)</f>
        <v>0</v>
      </c>
      <c r="CV805" s="1563"/>
      <c r="CW805" s="1563"/>
      <c r="CX805" s="1563"/>
      <c r="CY805" s="1564"/>
      <c r="CZ805" s="1562">
        <f>SUM(CZ795:DD804)</f>
        <v>0</v>
      </c>
      <c r="DA805" s="1563"/>
      <c r="DB805" s="1563"/>
      <c r="DC805" s="1563"/>
      <c r="DD805" s="1564"/>
      <c r="DE805" s="1562">
        <f>SUM(DE795:DI804)</f>
        <v>0</v>
      </c>
      <c r="DF805" s="1563"/>
      <c r="DG805" s="1563"/>
      <c r="DH805" s="1563"/>
      <c r="DI805" s="1564"/>
      <c r="DJ805" s="1562">
        <f>SUM(DJ795:DN804)</f>
        <v>0</v>
      </c>
      <c r="DK805" s="1563"/>
      <c r="DL805" s="1563"/>
      <c r="DM805" s="1563"/>
      <c r="DN805" s="1564"/>
      <c r="DO805" s="1562">
        <f>SUM(DO795:DS804)</f>
        <v>0</v>
      </c>
      <c r="DP805" s="1563"/>
      <c r="DQ805" s="1563"/>
      <c r="DR805" s="1563"/>
      <c r="DS805" s="1564"/>
      <c r="DT805" s="1007"/>
      <c r="DU805" s="1693">
        <f>SUM(DU795:DY804)</f>
        <v>0</v>
      </c>
      <c r="DV805" s="1745"/>
      <c r="DW805" s="1745"/>
      <c r="DX805" s="1745"/>
      <c r="DY805" s="1694"/>
      <c r="DZ805" s="1693">
        <f>SUM(DZ795:ED804)</f>
        <v>0</v>
      </c>
      <c r="EA805" s="1745"/>
      <c r="EB805" s="1745"/>
      <c r="EC805" s="1745"/>
      <c r="ED805" s="1694"/>
      <c r="EE805" s="1693">
        <f>SUM(EE795:EI804)</f>
        <v>0</v>
      </c>
      <c r="EF805" s="1745"/>
      <c r="EG805" s="1745"/>
      <c r="EH805" s="1745"/>
      <c r="EI805" s="1694"/>
      <c r="EJ805" s="1693">
        <f>SUM(EJ795:EN804)</f>
        <v>0</v>
      </c>
      <c r="EK805" s="1745"/>
      <c r="EL805" s="1745"/>
      <c r="EM805" s="1745"/>
      <c r="EN805" s="1694"/>
      <c r="EO805" s="1693">
        <f>SUM(EO795:ES804)</f>
        <v>0</v>
      </c>
      <c r="EP805" s="1745"/>
      <c r="EQ805" s="1745"/>
      <c r="ER805" s="1745"/>
      <c r="ES805" s="1694"/>
      <c r="ET805" s="1693">
        <f>SUM(ET795:EX804)</f>
        <v>0</v>
      </c>
      <c r="EU805" s="1745"/>
      <c r="EV805" s="1745"/>
      <c r="EW805" s="1745"/>
      <c r="EX805" s="1694"/>
    </row>
    <row r="806" spans="1:154" s="4" customFormat="1" ht="12.9" customHeight="1">
      <c r="A806"/>
      <c r="B806"/>
      <c r="C806" s="1746" t="str">
        <f>IF(O805&lt;&gt;AG447,"! Total market rate units in the Unit Mix Table above does not match the number of  market rate units on row #"&amp;TEXT(ROW(D447),"#"),"")</f>
        <v/>
      </c>
      <c r="D806" s="1746"/>
      <c r="E806" s="1746"/>
      <c r="F806" s="1746"/>
      <c r="G806" s="1746"/>
      <c r="H806" s="1746"/>
      <c r="I806" s="1746"/>
      <c r="J806" s="1746"/>
      <c r="K806" s="1746"/>
      <c r="L806" s="1746"/>
      <c r="M806" s="1746"/>
      <c r="N806" s="1746"/>
      <c r="O806" s="1746"/>
      <c r="P806" s="1746"/>
      <c r="Q806" s="1746"/>
      <c r="R806" s="1746"/>
      <c r="S806" s="1746"/>
      <c r="T806" s="1746"/>
      <c r="U806" s="1746"/>
      <c r="V806" s="1746"/>
      <c r="W806" s="1746"/>
      <c r="X806" s="1746"/>
      <c r="Y806" s="1746"/>
      <c r="Z806" s="1746"/>
      <c r="AA806" s="1746"/>
      <c r="AB806" s="1746"/>
      <c r="AC806" s="1746"/>
      <c r="AD806" s="1746"/>
      <c r="AE806" s="1746"/>
      <c r="AF806" s="1746"/>
      <c r="AG806" s="1746"/>
      <c r="AH806" s="1746"/>
      <c r="AI806" s="1746"/>
      <c r="AJ806" s="1746"/>
      <c r="AK806" s="1746"/>
      <c r="AL806" s="1746"/>
      <c r="AM806" s="1746"/>
      <c r="AN806" s="174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746"/>
      <c r="D807" s="1746"/>
      <c r="E807" s="1746"/>
      <c r="F807" s="1746"/>
      <c r="G807" s="1746"/>
      <c r="H807" s="1746"/>
      <c r="I807" s="1746"/>
      <c r="J807" s="1746"/>
      <c r="K807" s="1746"/>
      <c r="L807" s="1746"/>
      <c r="M807" s="1746"/>
      <c r="N807" s="1746"/>
      <c r="O807" s="1746"/>
      <c r="P807" s="1746"/>
      <c r="Q807" s="1746"/>
      <c r="R807" s="1746"/>
      <c r="S807" s="1746"/>
      <c r="T807" s="1746"/>
      <c r="U807" s="1746"/>
      <c r="V807" s="1746"/>
      <c r="W807" s="1746"/>
      <c r="X807" s="1746"/>
      <c r="Y807" s="1746"/>
      <c r="Z807" s="1746"/>
      <c r="AA807" s="1746"/>
      <c r="AB807" s="1746"/>
      <c r="AC807" s="1746"/>
      <c r="AD807" s="1746"/>
      <c r="AE807" s="1746"/>
      <c r="AF807" s="1746"/>
      <c r="AG807" s="1746"/>
      <c r="AH807" s="1746"/>
      <c r="AI807" s="1746"/>
      <c r="AJ807" s="1746"/>
      <c r="AK807" s="1746"/>
      <c r="AL807" s="1746"/>
      <c r="AM807" s="1746"/>
      <c r="AN807" s="174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82">
        <f>SUM(DU805:EX805)</f>
        <v>0</v>
      </c>
      <c r="EU807" s="1883"/>
      <c r="EV807" s="1883"/>
      <c r="EW807" s="1883"/>
      <c r="EX807" s="1884"/>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475">
        <f>O761+AC785+AC805</f>
        <v>77749</v>
      </c>
      <c r="Z808" s="1475"/>
      <c r="AA808" s="1475"/>
      <c r="AB808" s="1475"/>
      <c r="AC808" s="147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475">
        <f>(O761+AC785+AC805)*12</f>
        <v>932988</v>
      </c>
      <c r="Z809" s="1475"/>
      <c r="AA809" s="1475"/>
      <c r="AB809" s="1475"/>
      <c r="AC809" s="147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62">
        <f>CP761+CP785+CP805</f>
        <v>41</v>
      </c>
      <c r="CQ810" s="1563"/>
      <c r="CR810" s="1563"/>
      <c r="CS810" s="1563"/>
      <c r="CT810" s="1564"/>
      <c r="CU810" s="1562">
        <f>CU761+CU785+CU805</f>
        <v>47</v>
      </c>
      <c r="CV810" s="1563"/>
      <c r="CW810" s="1563"/>
      <c r="CX810" s="1563"/>
      <c r="CY810" s="1564"/>
      <c r="CZ810" s="1562">
        <f>CZ761+CZ785+CZ805</f>
        <v>7</v>
      </c>
      <c r="DA810" s="1563"/>
      <c r="DB810" s="1563"/>
      <c r="DC810" s="1563"/>
      <c r="DD810" s="1564"/>
      <c r="DE810" s="1562">
        <f>DE761+DE785+DE805</f>
        <v>0</v>
      </c>
      <c r="DF810" s="1563"/>
      <c r="DG810" s="1563"/>
      <c r="DH810" s="1563"/>
      <c r="DI810" s="1564"/>
      <c r="DJ810" s="1562">
        <f>DJ761+DJ785+DJ805</f>
        <v>0</v>
      </c>
      <c r="DK810" s="1563"/>
      <c r="DL810" s="1563"/>
      <c r="DM810" s="1563"/>
      <c r="DN810" s="1564"/>
      <c r="DO810" s="1559">
        <f>DO805+DO785+DO761</f>
        <v>0</v>
      </c>
      <c r="DP810" s="1560"/>
      <c r="DQ810" s="1560"/>
      <c r="DR810" s="1560"/>
      <c r="DS810" s="1561"/>
      <c r="DT810" s="3"/>
      <c r="DU810" s="857">
        <f>DU763+DU808</f>
        <v>98</v>
      </c>
      <c r="DV810" s="57" t="s">
        <v>1836</v>
      </c>
    </row>
    <row r="811" spans="1:154" s="4" customFormat="1" ht="12.9"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70">
        <v>93</v>
      </c>
      <c r="AA814" s="1671"/>
      <c r="AB814" s="1671"/>
      <c r="AC814" s="1671"/>
      <c r="AD814" s="1671"/>
      <c r="AE814" s="167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7">
        <v>20</v>
      </c>
      <c r="AA815" s="1671"/>
      <c r="AB815" s="1671"/>
      <c r="AC815" s="1671"/>
      <c r="AD815" s="1671"/>
      <c r="AE815" s="167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54">
        <v>54393</v>
      </c>
      <c r="AA816" s="1439"/>
      <c r="AB816" s="1439"/>
      <c r="AC816" s="1439"/>
      <c r="AD816" s="1439"/>
      <c r="AE816" s="144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653">
        <f>'Subsidy Contract Calculation'!J40</f>
        <v>1314396</v>
      </c>
      <c r="AA817" s="1654"/>
      <c r="AB817" s="1654"/>
      <c r="AC817" s="1654"/>
      <c r="AD817" s="1654"/>
      <c r="AE817" s="1655"/>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7">
        <v>7980</v>
      </c>
      <c r="AA821" s="1458"/>
      <c r="AB821" s="1458"/>
      <c r="AC821" s="1458"/>
      <c r="AD821" s="1458"/>
      <c r="AE821" s="145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7">
        <v>0</v>
      </c>
      <c r="AA822" s="1458"/>
      <c r="AB822" s="1458"/>
      <c r="AC822" s="1458"/>
      <c r="AD822" s="1458"/>
      <c r="AE822" s="145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7">
        <v>0</v>
      </c>
      <c r="AA823" s="1458"/>
      <c r="AB823" s="1458"/>
      <c r="AC823" s="1458"/>
      <c r="AD823" s="1458"/>
      <c r="AE823" s="145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447" t="s">
        <v>334</v>
      </c>
      <c r="Q824" s="1448"/>
      <c r="R824" s="1448"/>
      <c r="S824" s="1448"/>
      <c r="T824" s="1448"/>
      <c r="U824" s="1448"/>
      <c r="V824" s="1448"/>
      <c r="W824" s="1448"/>
      <c r="X824" s="1448"/>
      <c r="Y824" s="1449"/>
      <c r="Z824" s="1457"/>
      <c r="AA824" s="1458"/>
      <c r="AB824" s="1458"/>
      <c r="AC824" s="1458"/>
      <c r="AD824" s="1458"/>
      <c r="AE824" s="145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653">
        <f>SUM(Z821:AE824)</f>
        <v>7980</v>
      </c>
      <c r="AA825" s="1654"/>
      <c r="AB825" s="1654"/>
      <c r="AC825" s="1654"/>
      <c r="AD825" s="1654"/>
      <c r="AE825" s="1655"/>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653">
        <f>Z825+Y809+Z817</f>
        <v>2255364</v>
      </c>
      <c r="AA826" s="1654"/>
      <c r="AB826" s="1654"/>
      <c r="AC826" s="1654"/>
      <c r="AD826" s="1654"/>
      <c r="AE826" s="1655"/>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01" t="s">
        <v>126</v>
      </c>
      <c r="N831" s="1601"/>
      <c r="O831" s="1601"/>
      <c r="P831" s="1691"/>
      <c r="Q831" s="1692" t="s">
        <v>290</v>
      </c>
      <c r="R831" s="1692"/>
      <c r="S831" s="1692"/>
      <c r="T831" s="1692"/>
      <c r="U831" s="1692" t="s">
        <v>291</v>
      </c>
      <c r="V831" s="1692"/>
      <c r="W831" s="1692"/>
      <c r="X831" s="1692"/>
      <c r="Y831" s="1692" t="s">
        <v>292</v>
      </c>
      <c r="Z831" s="1692"/>
      <c r="AA831" s="1692"/>
      <c r="AB831" s="1692"/>
      <c r="AC831" s="1692" t="s">
        <v>361</v>
      </c>
      <c r="AD831" s="1692"/>
      <c r="AE831" s="1692"/>
      <c r="AF831" s="1692"/>
      <c r="AG831" s="1744" t="s">
        <v>335</v>
      </c>
      <c r="AH831" s="1744"/>
      <c r="AI831" s="1744"/>
      <c r="AJ831" s="1744"/>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05"/>
      <c r="N832" s="1605"/>
      <c r="O832" s="1605"/>
      <c r="P832" s="1646"/>
      <c r="Q832" s="1692"/>
      <c r="R832" s="1692"/>
      <c r="S832" s="1692"/>
      <c r="T832" s="1692"/>
      <c r="U832" s="1692"/>
      <c r="V832" s="1692"/>
      <c r="W832" s="1692"/>
      <c r="X832" s="1692"/>
      <c r="Y832" s="1692"/>
      <c r="Z832" s="1692"/>
      <c r="AA832" s="1692"/>
      <c r="AB832" s="1692"/>
      <c r="AC832" s="1692"/>
      <c r="AD832" s="1692"/>
      <c r="AE832" s="1692"/>
      <c r="AF832" s="1692"/>
      <c r="AG832" s="1744"/>
      <c r="AH832" s="1744"/>
      <c r="AI832" s="1744"/>
      <c r="AJ832" s="1744"/>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24" t="s">
        <v>40</v>
      </c>
      <c r="D833" s="1474"/>
      <c r="E833" s="1474"/>
      <c r="F833" s="1474"/>
      <c r="G833" s="1474"/>
      <c r="H833" s="1474"/>
      <c r="I833" s="48"/>
      <c r="J833" s="48"/>
      <c r="K833" s="48"/>
      <c r="L833" s="49"/>
      <c r="M833" s="1392">
        <v>0</v>
      </c>
      <c r="N833" s="1392"/>
      <c r="O833" s="1392"/>
      <c r="P833" s="1392"/>
      <c r="Q833" s="1392">
        <v>0</v>
      </c>
      <c r="R833" s="1392"/>
      <c r="S833" s="1392"/>
      <c r="T833" s="1392"/>
      <c r="U833" s="1392">
        <v>0</v>
      </c>
      <c r="V833" s="1392"/>
      <c r="W833" s="1392"/>
      <c r="X833" s="1392"/>
      <c r="Y833" s="1392"/>
      <c r="Z833" s="1392"/>
      <c r="AA833" s="1392"/>
      <c r="AB833" s="1392"/>
      <c r="AC833" s="1450"/>
      <c r="AD833" s="1451"/>
      <c r="AE833" s="1451"/>
      <c r="AF833" s="1452"/>
      <c r="AG833" s="1450"/>
      <c r="AH833" s="1451"/>
      <c r="AI833" s="1451"/>
      <c r="AJ833" s="1452"/>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433" t="s">
        <v>41</v>
      </c>
      <c r="D834" s="1434"/>
      <c r="E834" s="1434"/>
      <c r="F834" s="1434"/>
      <c r="G834" s="1434"/>
      <c r="H834" s="1434"/>
      <c r="I834" s="5"/>
      <c r="J834" s="5"/>
      <c r="K834" s="5"/>
      <c r="L834" s="46"/>
      <c r="M834" s="1392">
        <v>0</v>
      </c>
      <c r="N834" s="1392"/>
      <c r="O834" s="1392"/>
      <c r="P834" s="1392"/>
      <c r="Q834" s="1392">
        <v>0</v>
      </c>
      <c r="R834" s="1392"/>
      <c r="S834" s="1392"/>
      <c r="T834" s="1392"/>
      <c r="U834" s="1392">
        <v>0</v>
      </c>
      <c r="V834" s="1392"/>
      <c r="W834" s="1392"/>
      <c r="X834" s="1392"/>
      <c r="Y834" s="1392"/>
      <c r="Z834" s="1392"/>
      <c r="AA834" s="1392"/>
      <c r="AB834" s="1392"/>
      <c r="AC834" s="1450"/>
      <c r="AD834" s="1451"/>
      <c r="AE834" s="1451"/>
      <c r="AF834" s="1452"/>
      <c r="AG834" s="1450"/>
      <c r="AH834" s="1451"/>
      <c r="AI834" s="1451"/>
      <c r="AJ834" s="1452"/>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433" t="s">
        <v>42</v>
      </c>
      <c r="D835" s="1434"/>
      <c r="E835" s="1434"/>
      <c r="F835" s="1434"/>
      <c r="G835" s="1434"/>
      <c r="H835" s="1434"/>
      <c r="I835" s="60"/>
      <c r="J835" s="60"/>
      <c r="K835" s="60"/>
      <c r="L835" s="61"/>
      <c r="M835" s="1392">
        <v>0</v>
      </c>
      <c r="N835" s="1392"/>
      <c r="O835" s="1392"/>
      <c r="P835" s="1392"/>
      <c r="Q835" s="1392">
        <v>0</v>
      </c>
      <c r="R835" s="1392"/>
      <c r="S835" s="1392"/>
      <c r="T835" s="1392"/>
      <c r="U835" s="1392">
        <v>0</v>
      </c>
      <c r="V835" s="1392"/>
      <c r="W835" s="1392"/>
      <c r="X835" s="1392"/>
      <c r="Y835" s="1392"/>
      <c r="Z835" s="1392"/>
      <c r="AA835" s="1392"/>
      <c r="AB835" s="1392"/>
      <c r="AC835" s="1450"/>
      <c r="AD835" s="1451"/>
      <c r="AE835" s="1451"/>
      <c r="AF835" s="1452"/>
      <c r="AG835" s="1450"/>
      <c r="AH835" s="1451"/>
      <c r="AI835" s="1451"/>
      <c r="AJ835" s="1452"/>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433" t="s">
        <v>762</v>
      </c>
      <c r="D836" s="1434"/>
      <c r="E836" s="1434"/>
      <c r="F836" s="1434"/>
      <c r="G836" s="1434"/>
      <c r="H836" s="1434"/>
      <c r="I836" s="60"/>
      <c r="J836" s="60"/>
      <c r="K836" s="60"/>
      <c r="L836" s="61"/>
      <c r="M836" s="1392">
        <v>0</v>
      </c>
      <c r="N836" s="1392"/>
      <c r="O836" s="1392"/>
      <c r="P836" s="1392"/>
      <c r="Q836" s="1392">
        <v>0</v>
      </c>
      <c r="R836" s="1392"/>
      <c r="S836" s="1392"/>
      <c r="T836" s="1392"/>
      <c r="U836" s="1392">
        <v>0</v>
      </c>
      <c r="V836" s="1392"/>
      <c r="W836" s="1392"/>
      <c r="X836" s="1392"/>
      <c r="Y836" s="1392"/>
      <c r="Z836" s="1392"/>
      <c r="AA836" s="1392"/>
      <c r="AB836" s="1392"/>
      <c r="AC836" s="1450"/>
      <c r="AD836" s="1451"/>
      <c r="AE836" s="1451"/>
      <c r="AF836" s="1452"/>
      <c r="AG836" s="1450"/>
      <c r="AH836" s="1451"/>
      <c r="AI836" s="1451"/>
      <c r="AJ836" s="1452"/>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433" t="s">
        <v>459</v>
      </c>
      <c r="D837" s="1434"/>
      <c r="E837" s="1434"/>
      <c r="F837" s="1434"/>
      <c r="G837" s="1434"/>
      <c r="H837" s="1434"/>
      <c r="I837" s="60"/>
      <c r="J837" s="60"/>
      <c r="K837" s="60"/>
      <c r="L837" s="61"/>
      <c r="M837" s="1392">
        <v>0</v>
      </c>
      <c r="N837" s="1392"/>
      <c r="O837" s="1392"/>
      <c r="P837" s="1392"/>
      <c r="Q837" s="1392">
        <v>0</v>
      </c>
      <c r="R837" s="1392"/>
      <c r="S837" s="1392"/>
      <c r="T837" s="1392"/>
      <c r="U837" s="1392">
        <v>0</v>
      </c>
      <c r="V837" s="1392"/>
      <c r="W837" s="1392"/>
      <c r="X837" s="1392"/>
      <c r="Y837" s="1392"/>
      <c r="Z837" s="1392"/>
      <c r="AA837" s="1392"/>
      <c r="AB837" s="1392"/>
      <c r="AC837" s="1450"/>
      <c r="AD837" s="1451"/>
      <c r="AE837" s="1451"/>
      <c r="AF837" s="1452"/>
      <c r="AG837" s="1450"/>
      <c r="AH837" s="1451"/>
      <c r="AI837" s="1451"/>
      <c r="AJ837" s="1452"/>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79" t="s">
        <v>783</v>
      </c>
      <c r="D838" s="1434"/>
      <c r="E838" s="1434"/>
      <c r="F838" s="1434"/>
      <c r="G838" s="1434"/>
      <c r="H838" s="1434"/>
      <c r="I838" s="60"/>
      <c r="J838" s="60"/>
      <c r="K838" s="60"/>
      <c r="L838" s="61"/>
      <c r="M838" s="1392">
        <v>0</v>
      </c>
      <c r="N838" s="1392"/>
      <c r="O838" s="1392"/>
      <c r="P838" s="1392"/>
      <c r="Q838" s="1392">
        <v>0</v>
      </c>
      <c r="R838" s="1392"/>
      <c r="S838" s="1392"/>
      <c r="T838" s="1392"/>
      <c r="U838" s="1392">
        <v>0</v>
      </c>
      <c r="V838" s="1392"/>
      <c r="W838" s="1392"/>
      <c r="X838" s="1392"/>
      <c r="Y838" s="1392"/>
      <c r="Z838" s="1392"/>
      <c r="AA838" s="1392"/>
      <c r="AB838" s="1392"/>
      <c r="AC838" s="1450"/>
      <c r="AD838" s="1451"/>
      <c r="AE838" s="1451"/>
      <c r="AF838" s="1452"/>
      <c r="AG838" s="1450"/>
      <c r="AH838" s="1451"/>
      <c r="AI838" s="1451"/>
      <c r="AJ838" s="1452"/>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293</v>
      </c>
      <c r="D839" s="60"/>
      <c r="E839" s="60"/>
      <c r="F839" s="1447" t="s">
        <v>2717</v>
      </c>
      <c r="G839" s="1448"/>
      <c r="H839" s="1448"/>
      <c r="I839" s="1448"/>
      <c r="J839" s="1448"/>
      <c r="K839" s="1448"/>
      <c r="L839" s="1448"/>
      <c r="M839" s="1392">
        <v>0</v>
      </c>
      <c r="N839" s="1392"/>
      <c r="O839" s="1392"/>
      <c r="P839" s="1392"/>
      <c r="Q839" s="1392">
        <v>0</v>
      </c>
      <c r="R839" s="1392"/>
      <c r="S839" s="1392"/>
      <c r="T839" s="1392"/>
      <c r="U839" s="1392">
        <v>0</v>
      </c>
      <c r="V839" s="1392"/>
      <c r="W839" s="1392"/>
      <c r="X839" s="1392"/>
      <c r="Y839" s="1392"/>
      <c r="Z839" s="1392"/>
      <c r="AA839" s="1392"/>
      <c r="AB839" s="1392"/>
      <c r="AC839" s="1450"/>
      <c r="AD839" s="1451"/>
      <c r="AE839" s="1451"/>
      <c r="AF839" s="1452"/>
      <c r="AG839" s="1450"/>
      <c r="AH839" s="1451"/>
      <c r="AI839" s="1451"/>
      <c r="AJ839" s="1452"/>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537" t="s">
        <v>124</v>
      </c>
      <c r="D840" s="1538"/>
      <c r="E840" s="1538"/>
      <c r="F840" s="1538"/>
      <c r="G840" s="1538"/>
      <c r="H840" s="1538"/>
      <c r="I840" s="1538"/>
      <c r="J840" s="1538"/>
      <c r="K840" s="1538"/>
      <c r="L840" s="1539"/>
      <c r="M840" s="1453">
        <f>SUM(M833:P839)</f>
        <v>0</v>
      </c>
      <c r="N840" s="1453"/>
      <c r="O840" s="1453"/>
      <c r="P840" s="1453"/>
      <c r="Q840" s="1453">
        <f>SUM(Q833:T839)</f>
        <v>0</v>
      </c>
      <c r="R840" s="1453"/>
      <c r="S840" s="1453"/>
      <c r="T840" s="1453"/>
      <c r="U840" s="1453">
        <f>SUM(U833:X839)</f>
        <v>0</v>
      </c>
      <c r="V840" s="1453"/>
      <c r="W840" s="1453"/>
      <c r="X840" s="1453"/>
      <c r="Y840" s="1453">
        <f>SUM(Y833:AB839)</f>
        <v>0</v>
      </c>
      <c r="Z840" s="1453"/>
      <c r="AA840" s="1453"/>
      <c r="AB840" s="1453"/>
      <c r="AC840" s="1453">
        <f>SUM(AC833:AF839)</f>
        <v>0</v>
      </c>
      <c r="AD840" s="1453"/>
      <c r="AE840" s="1453"/>
      <c r="AF840" s="1453"/>
      <c r="AG840" s="1453">
        <f>SUM(AG833:AJ839)</f>
        <v>0</v>
      </c>
      <c r="AH840" s="1453"/>
      <c r="AI840" s="1453"/>
      <c r="AJ840" s="1453"/>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660" t="s">
        <v>2786</v>
      </c>
      <c r="D845" s="1661"/>
      <c r="E845" s="1661"/>
      <c r="F845" s="1661"/>
      <c r="G845" s="1661"/>
      <c r="H845" s="1661"/>
      <c r="I845" s="1661"/>
      <c r="J845" s="1661"/>
      <c r="K845" s="1661"/>
      <c r="L845" s="1661"/>
      <c r="M845" s="1661"/>
      <c r="N845" s="1661"/>
      <c r="O845" s="1661"/>
      <c r="P845" s="1661"/>
      <c r="Q845" s="1661"/>
      <c r="R845" s="1661"/>
      <c r="S845" s="1661"/>
      <c r="T845" s="1661"/>
      <c r="U845" s="1661"/>
      <c r="V845" s="1661"/>
      <c r="W845" s="1661"/>
      <c r="X845" s="1661"/>
      <c r="Y845" s="1661"/>
      <c r="Z845" s="1661"/>
      <c r="AA845" s="1661"/>
      <c r="AB845" s="1661"/>
      <c r="AC845" s="1661"/>
      <c r="AD845" s="1661"/>
      <c r="AE845" s="1661"/>
      <c r="AF845" s="1661"/>
      <c r="AG845" s="1661"/>
      <c r="AH845" s="1661"/>
      <c r="AI845" s="1661"/>
      <c r="AJ845" s="1662"/>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0"/>
      <c r="BJ849" s="1690"/>
      <c r="BK849" s="1690"/>
      <c r="BL849" s="1690"/>
    </row>
    <row r="850" spans="1:64" s="14" customFormat="1" ht="12.9" customHeight="1">
      <c r="A850"/>
      <c r="B850"/>
      <c r="C850" s="2" t="s">
        <v>343</v>
      </c>
      <c r="D850"/>
      <c r="E850"/>
      <c r="F850"/>
      <c r="G850"/>
      <c r="H850"/>
      <c r="I850"/>
      <c r="J850" s="45" t="s">
        <v>356</v>
      </c>
      <c r="K850" s="5"/>
      <c r="L850" s="5"/>
      <c r="M850" s="5"/>
      <c r="N850" s="5"/>
      <c r="O850" s="5"/>
      <c r="P850" s="5"/>
      <c r="Q850" s="5"/>
      <c r="R850" s="5"/>
      <c r="S850" s="5"/>
      <c r="T850" s="5"/>
      <c r="U850" s="5"/>
      <c r="V850" s="46"/>
      <c r="W850" s="1454">
        <v>4000</v>
      </c>
      <c r="X850" s="1454"/>
      <c r="Y850" s="1454"/>
      <c r="Z850" s="1454"/>
      <c r="AA850" s="1454"/>
      <c r="AB850" s="1454"/>
      <c r="AC850" s="1454"/>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355</v>
      </c>
      <c r="K851" s="5"/>
      <c r="L851" s="5"/>
      <c r="M851" s="5"/>
      <c r="N851" s="5"/>
      <c r="O851" s="5"/>
      <c r="P851" s="5"/>
      <c r="Q851" s="5"/>
      <c r="R851" s="5"/>
      <c r="S851" s="5"/>
      <c r="T851" s="5"/>
      <c r="U851" s="5"/>
      <c r="V851" s="46"/>
      <c r="W851" s="1454">
        <v>20000</v>
      </c>
      <c r="X851" s="1454"/>
      <c r="Y851" s="1454"/>
      <c r="Z851" s="1454"/>
      <c r="AA851" s="1454"/>
      <c r="AB851" s="1454"/>
      <c r="AC851" s="1454"/>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354</v>
      </c>
      <c r="K852" s="5"/>
      <c r="L852" s="5"/>
      <c r="M852" s="5"/>
      <c r="N852" s="5"/>
      <c r="O852" s="5"/>
      <c r="P852" s="5"/>
      <c r="Q852" s="5"/>
      <c r="R852" s="5"/>
      <c r="S852" s="5"/>
      <c r="T852" s="5"/>
      <c r="U852" s="5"/>
      <c r="V852" s="46"/>
      <c r="W852" s="1454">
        <v>12000</v>
      </c>
      <c r="X852" s="1454"/>
      <c r="Y852" s="1454"/>
      <c r="Z852" s="1454"/>
      <c r="AA852" s="1454"/>
      <c r="AB852" s="1454"/>
      <c r="AC852" s="1454"/>
      <c r="AZ852" s="30"/>
      <c r="BA852" s="30"/>
      <c r="BB852" s="14"/>
      <c r="BC852" s="14"/>
      <c r="BD852" s="14"/>
      <c r="BE852" s="14"/>
      <c r="BF852" s="14"/>
      <c r="BG852" s="14"/>
      <c r="BH852" s="14"/>
      <c r="BI852" s="14"/>
      <c r="BJ852" s="14"/>
      <c r="BK852" s="14"/>
      <c r="BL852" s="14"/>
    </row>
    <row r="853" spans="1:64" ht="12.9" customHeight="1">
      <c r="J853" s="45" t="s">
        <v>353</v>
      </c>
      <c r="K853" s="5"/>
      <c r="L853" s="5"/>
      <c r="M853" s="5"/>
      <c r="N853" s="5"/>
      <c r="O853" s="5"/>
      <c r="P853" s="5"/>
      <c r="Q853" s="5"/>
      <c r="R853" s="5"/>
      <c r="S853" s="5"/>
      <c r="T853" s="5"/>
      <c r="U853" s="5"/>
      <c r="V853" s="46"/>
      <c r="W853" s="1454">
        <v>315816</v>
      </c>
      <c r="X853" s="1454"/>
      <c r="Y853" s="1454"/>
      <c r="Z853" s="1454"/>
      <c r="AA853" s="1454"/>
      <c r="AB853" s="1454"/>
      <c r="AC853" s="1454"/>
      <c r="AZ853" s="30"/>
      <c r="BA853" s="30"/>
      <c r="BB853" s="14"/>
      <c r="BC853" s="14"/>
      <c r="BD853" s="14"/>
      <c r="BE853" s="14"/>
      <c r="BF853" s="14"/>
      <c r="BG853" s="14"/>
      <c r="BH853" s="14"/>
      <c r="BI853" s="14"/>
      <c r="BJ853" s="14"/>
      <c r="BK853" s="14"/>
      <c r="BL853" s="14"/>
    </row>
    <row r="854" spans="1:64" ht="12.9" customHeight="1">
      <c r="J854" s="45" t="s">
        <v>170</v>
      </c>
      <c r="K854" s="5"/>
      <c r="L854" s="5"/>
      <c r="M854" s="1447" t="s">
        <v>2713</v>
      </c>
      <c r="N854" s="1448"/>
      <c r="O854" s="1448"/>
      <c r="P854" s="1448"/>
      <c r="Q854" s="1448"/>
      <c r="R854" s="1448"/>
      <c r="S854" s="1448"/>
      <c r="T854" s="1448"/>
      <c r="U854" s="1448"/>
      <c r="V854" s="1449"/>
      <c r="W854" s="1454">
        <v>30000</v>
      </c>
      <c r="X854" s="1454"/>
      <c r="Y854" s="1454"/>
      <c r="Z854" s="1454"/>
      <c r="AA854" s="1454"/>
      <c r="AB854" s="1454"/>
      <c r="AC854" s="1454"/>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342</v>
      </c>
      <c r="W855" s="1653">
        <f>SUM(W850:W854)</f>
        <v>381816</v>
      </c>
      <c r="X855" s="1654"/>
      <c r="Y855" s="1654"/>
      <c r="Z855" s="1654"/>
      <c r="AA855" s="1654"/>
      <c r="AB855" s="1654"/>
      <c r="AC855" s="1655"/>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77"/>
      <c r="BH856" s="1677"/>
      <c r="BI856" s="1677"/>
      <c r="BJ856" s="1677"/>
      <c r="BK856" s="1677"/>
      <c r="BL856" s="1677"/>
    </row>
    <row r="857" spans="1:64" ht="12.9" customHeight="1">
      <c r="C857" s="2" t="s">
        <v>344</v>
      </c>
      <c r="J857" s="1537" t="s">
        <v>345</v>
      </c>
      <c r="K857" s="1538"/>
      <c r="L857" s="1538"/>
      <c r="M857" s="1538"/>
      <c r="N857" s="1538"/>
      <c r="O857" s="1538"/>
      <c r="P857" s="1538"/>
      <c r="Q857" s="1538"/>
      <c r="R857" s="1538"/>
      <c r="S857" s="1538"/>
      <c r="T857" s="1538"/>
      <c r="U857" s="1538"/>
      <c r="V857" s="1539"/>
      <c r="W857" s="1457">
        <v>83700</v>
      </c>
      <c r="X857" s="1458"/>
      <c r="Y857" s="1458"/>
      <c r="Z857" s="1458"/>
      <c r="AA857" s="1458"/>
      <c r="AB857" s="1458"/>
      <c r="AC857" s="1459"/>
      <c r="AD857" s="533"/>
      <c r="AZ857" s="30"/>
      <c r="BA857" s="30"/>
      <c r="BB857" s="14"/>
      <c r="BC857" s="14"/>
    </row>
    <row r="858" spans="1:64" ht="12.9" customHeight="1">
      <c r="AD858" s="533"/>
      <c r="AZ858" s="30"/>
      <c r="BA858" s="30"/>
      <c r="BB858" s="14"/>
      <c r="BC858" s="14"/>
    </row>
    <row r="859" spans="1:64" ht="12.9" customHeight="1">
      <c r="C859" s="2" t="s">
        <v>561</v>
      </c>
      <c r="J859" s="45" t="s">
        <v>352</v>
      </c>
      <c r="K859" s="5"/>
      <c r="L859" s="5"/>
      <c r="M859" s="5"/>
      <c r="N859" s="5"/>
      <c r="O859" s="5"/>
      <c r="P859" s="5"/>
      <c r="Q859" s="5"/>
      <c r="R859" s="5"/>
      <c r="S859" s="5"/>
      <c r="T859" s="5"/>
      <c r="U859" s="5"/>
      <c r="V859" s="46"/>
      <c r="W859" s="1658"/>
      <c r="X859" s="1658"/>
      <c r="Y859" s="1658"/>
      <c r="Z859" s="1658"/>
      <c r="AA859" s="1658"/>
      <c r="AB859" s="1658"/>
      <c r="AC859" s="1658"/>
      <c r="AZ859" s="1748"/>
      <c r="BA859" s="1748"/>
      <c r="BB859" s="14"/>
      <c r="BC859" s="14"/>
    </row>
    <row r="860" spans="1:64" ht="12.9" customHeight="1">
      <c r="J860" s="45" t="s">
        <v>351</v>
      </c>
      <c r="K860" s="5"/>
      <c r="L860" s="5"/>
      <c r="M860" s="5"/>
      <c r="N860" s="5"/>
      <c r="O860" s="5"/>
      <c r="P860" s="5"/>
      <c r="Q860" s="5"/>
      <c r="R860" s="5"/>
      <c r="S860" s="5"/>
      <c r="T860" s="5"/>
      <c r="U860" s="5"/>
      <c r="V860" s="46"/>
      <c r="W860" s="1658"/>
      <c r="X860" s="1658"/>
      <c r="Y860" s="1658"/>
      <c r="Z860" s="1658"/>
      <c r="AA860" s="1658"/>
      <c r="AB860" s="1658"/>
      <c r="AC860" s="1658"/>
      <c r="AZ860" s="30"/>
      <c r="BA860" s="30"/>
      <c r="BB860" s="14"/>
      <c r="BC860" s="14"/>
    </row>
    <row r="861" spans="1:64" ht="12.9" customHeight="1">
      <c r="J861" s="45" t="s">
        <v>459</v>
      </c>
      <c r="K861" s="5"/>
      <c r="L861" s="5"/>
      <c r="M861" s="5"/>
      <c r="N861" s="5"/>
      <c r="O861" s="5"/>
      <c r="P861" s="5"/>
      <c r="Q861" s="5"/>
      <c r="R861" s="5"/>
      <c r="S861" s="5"/>
      <c r="T861" s="5"/>
      <c r="U861" s="5"/>
      <c r="V861" s="46"/>
      <c r="W861" s="1658">
        <v>173000</v>
      </c>
      <c r="X861" s="1658"/>
      <c r="Y861" s="1658"/>
      <c r="Z861" s="1658"/>
      <c r="AA861" s="1658"/>
      <c r="AB861" s="1658"/>
      <c r="AC861" s="1658"/>
      <c r="AZ861" s="30"/>
      <c r="BA861" s="30"/>
      <c r="BB861" s="14"/>
      <c r="BC861" s="14"/>
    </row>
    <row r="862" spans="1:64" ht="12.9" customHeight="1">
      <c r="J862" s="62" t="s">
        <v>620</v>
      </c>
      <c r="K862" s="5"/>
      <c r="L862" s="5"/>
      <c r="M862" s="5"/>
      <c r="N862" s="5"/>
      <c r="O862" s="5"/>
      <c r="P862" s="5"/>
      <c r="Q862" s="5"/>
      <c r="R862" s="5"/>
      <c r="S862" s="5"/>
      <c r="T862" s="5"/>
      <c r="U862" s="5"/>
      <c r="V862" s="46"/>
      <c r="W862" s="1658">
        <v>65000</v>
      </c>
      <c r="X862" s="1658"/>
      <c r="Y862" s="1658"/>
      <c r="Z862" s="1658"/>
      <c r="AA862" s="1658"/>
      <c r="AB862" s="1658"/>
      <c r="AC862" s="1658"/>
      <c r="AZ862" s="34"/>
      <c r="BA862" s="34"/>
      <c r="BB862" s="34"/>
      <c r="BC862" s="34"/>
    </row>
    <row r="863" spans="1:64" ht="12.9" customHeight="1">
      <c r="J863" s="63"/>
      <c r="K863" s="48"/>
      <c r="L863" s="48"/>
      <c r="M863" s="48"/>
      <c r="N863" s="48"/>
      <c r="O863" s="48"/>
      <c r="P863" s="48"/>
      <c r="Q863" s="48"/>
      <c r="R863" s="48"/>
      <c r="S863" s="48"/>
      <c r="T863" s="48"/>
      <c r="U863" s="48"/>
      <c r="V863" s="54" t="s">
        <v>272</v>
      </c>
      <c r="W863" s="1659">
        <f>SUM(W859:W862)</f>
        <v>238000</v>
      </c>
      <c r="X863" s="1659"/>
      <c r="Y863" s="1659"/>
      <c r="Z863" s="1659"/>
      <c r="AA863" s="1659"/>
      <c r="AB863" s="1659"/>
      <c r="AC863" s="1659"/>
      <c r="AZ863" s="34"/>
      <c r="BA863" s="34"/>
      <c r="BB863" s="34"/>
      <c r="BC863" s="34"/>
    </row>
    <row r="864" spans="1:64" ht="12.9" customHeight="1">
      <c r="AZ864" s="34"/>
      <c r="BA864" s="34"/>
      <c r="BB864" s="34"/>
      <c r="BC864" s="34"/>
    </row>
    <row r="865" spans="3:55" ht="12.9" customHeight="1">
      <c r="C865" s="2" t="s">
        <v>346</v>
      </c>
      <c r="J865" s="45" t="s">
        <v>619</v>
      </c>
      <c r="K865" s="5"/>
      <c r="L865" s="5"/>
      <c r="M865" s="5"/>
      <c r="N865" s="5"/>
      <c r="O865" s="5"/>
      <c r="P865" s="5"/>
      <c r="Q865" s="5"/>
      <c r="R865" s="5"/>
      <c r="S865" s="5"/>
      <c r="T865" s="5"/>
      <c r="U865" s="5"/>
      <c r="V865" s="46"/>
      <c r="W865" s="1476">
        <v>62400</v>
      </c>
      <c r="X865" s="1477"/>
      <c r="Y865" s="1477"/>
      <c r="Z865" s="1477"/>
      <c r="AA865" s="1477"/>
      <c r="AB865" s="1477"/>
      <c r="AC865" s="1478"/>
      <c r="AD865" s="528"/>
      <c r="AZ865" s="34"/>
      <c r="BA865" s="34"/>
      <c r="BB865" s="34"/>
      <c r="BC865" s="34"/>
    </row>
    <row r="866" spans="3:55" ht="12.9" customHeight="1">
      <c r="C866" s="2" t="s">
        <v>347</v>
      </c>
      <c r="J866" s="121" t="s">
        <v>1643</v>
      </c>
      <c r="K866" s="5"/>
      <c r="L866" s="5"/>
      <c r="M866" s="5"/>
      <c r="N866" s="5"/>
      <c r="O866" s="5"/>
      <c r="P866" s="5"/>
      <c r="Q866" s="5"/>
      <c r="R866" s="5"/>
      <c r="S866" s="5"/>
      <c r="T866" s="1684">
        <v>3</v>
      </c>
      <c r="U866" s="1685"/>
      <c r="V866" s="1686"/>
      <c r="W866" s="870"/>
      <c r="X866" s="871"/>
      <c r="Y866" s="871"/>
      <c r="Z866" s="871"/>
      <c r="AA866" s="871"/>
      <c r="AB866" s="871"/>
      <c r="AC866" s="872"/>
      <c r="AD866" s="528"/>
      <c r="AZ866" s="34"/>
      <c r="BA866" s="34"/>
      <c r="BB866" s="34"/>
      <c r="BC866" s="34"/>
    </row>
    <row r="867" spans="3:55" ht="12.9" customHeight="1">
      <c r="C867" s="2"/>
      <c r="J867" s="45" t="s">
        <v>618</v>
      </c>
      <c r="K867" s="5"/>
      <c r="L867" s="5"/>
      <c r="M867" s="5"/>
      <c r="N867" s="5"/>
      <c r="O867" s="5"/>
      <c r="P867" s="5"/>
      <c r="Q867" s="5"/>
      <c r="R867" s="5"/>
      <c r="S867" s="5"/>
      <c r="T867" s="5"/>
      <c r="U867" s="5"/>
      <c r="V867" s="46"/>
      <c r="W867" s="1476">
        <v>67600</v>
      </c>
      <c r="X867" s="1477"/>
      <c r="Y867" s="1477"/>
      <c r="Z867" s="1477"/>
      <c r="AA867" s="1477"/>
      <c r="AB867" s="1477"/>
      <c r="AC867" s="1478"/>
      <c r="AD867" s="533"/>
      <c r="AZ867" s="34"/>
      <c r="BA867" s="34"/>
      <c r="BB867" s="34"/>
      <c r="BC867" s="34"/>
    </row>
    <row r="868" spans="3:55" ht="12.9" customHeight="1">
      <c r="C868" s="2"/>
      <c r="J868" s="121" t="s">
        <v>1644</v>
      </c>
      <c r="K868" s="5"/>
      <c r="L868" s="5"/>
      <c r="M868" s="5"/>
      <c r="N868" s="5"/>
      <c r="O868" s="5"/>
      <c r="P868" s="5"/>
      <c r="Q868" s="5"/>
      <c r="R868" s="5"/>
      <c r="S868" s="5"/>
      <c r="T868" s="1684">
        <v>2</v>
      </c>
      <c r="U868" s="1685"/>
      <c r="V868" s="1686"/>
      <c r="W868" s="870"/>
      <c r="X868" s="871"/>
      <c r="Y868" s="871"/>
      <c r="Z868" s="871"/>
      <c r="AA868" s="871"/>
      <c r="AB868" s="871"/>
      <c r="AC868" s="872"/>
      <c r="AD868" s="533"/>
      <c r="AZ868" s="34"/>
      <c r="BA868" s="34"/>
      <c r="BB868" s="34"/>
      <c r="BC868" s="34"/>
    </row>
    <row r="869" spans="3:55" ht="12.9" customHeight="1">
      <c r="J869" s="45" t="s">
        <v>170</v>
      </c>
      <c r="K869" s="5"/>
      <c r="L869" s="5"/>
      <c r="M869" s="1447" t="s">
        <v>2714</v>
      </c>
      <c r="N869" s="1448"/>
      <c r="O869" s="1448"/>
      <c r="P869" s="1448"/>
      <c r="Q869" s="1448"/>
      <c r="R869" s="1448"/>
      <c r="S869" s="1448"/>
      <c r="T869" s="1448"/>
      <c r="U869" s="1448"/>
      <c r="V869" s="1449"/>
      <c r="W869" s="1476">
        <v>39000</v>
      </c>
      <c r="X869" s="1477"/>
      <c r="Y869" s="1477"/>
      <c r="Z869" s="1477"/>
      <c r="AA869" s="1477"/>
      <c r="AB869" s="1477"/>
      <c r="AC869" s="1478"/>
      <c r="AD869" s="528"/>
      <c r="AU869" s="14"/>
      <c r="AZ869" s="34"/>
      <c r="BA869" s="34"/>
      <c r="BB869" s="34"/>
      <c r="BC869" s="34"/>
    </row>
    <row r="870" spans="3:55" ht="12.9" customHeight="1">
      <c r="J870" s="45"/>
      <c r="K870" s="5"/>
      <c r="L870" s="5"/>
      <c r="M870" s="5"/>
      <c r="N870" s="5"/>
      <c r="O870" s="5"/>
      <c r="P870" s="5"/>
      <c r="Q870" s="5"/>
      <c r="R870" s="5"/>
      <c r="S870" s="5"/>
      <c r="T870" s="5"/>
      <c r="U870" s="5"/>
      <c r="V870" s="54" t="s">
        <v>273</v>
      </c>
      <c r="W870" s="1687">
        <f>SUM(W865:W869)</f>
        <v>169000</v>
      </c>
      <c r="X870" s="1688"/>
      <c r="Y870" s="1688"/>
      <c r="Z870" s="1688"/>
      <c r="AA870" s="1688"/>
      <c r="AB870" s="1688"/>
      <c r="AC870" s="1689"/>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274</v>
      </c>
      <c r="W872" s="1476">
        <v>60000</v>
      </c>
      <c r="X872" s="1477"/>
      <c r="Y872" s="1477"/>
      <c r="Z872" s="1477"/>
      <c r="AA872" s="1477"/>
      <c r="AB872" s="1477"/>
      <c r="AC872" s="1478"/>
      <c r="AU872" s="14"/>
      <c r="AZ872" s="34"/>
      <c r="BA872" s="34"/>
      <c r="BB872" s="34"/>
      <c r="BC872" s="34"/>
    </row>
    <row r="873" spans="3:55" ht="12.9" customHeight="1">
      <c r="J873" s="512"/>
      <c r="AU873" s="14"/>
      <c r="AZ873" s="34"/>
      <c r="BA873" s="34"/>
      <c r="BB873" s="34"/>
      <c r="BC873" s="34"/>
    </row>
    <row r="874" spans="3:55" ht="12.9" customHeight="1">
      <c r="C874" s="2" t="s">
        <v>390</v>
      </c>
      <c r="J874" s="45" t="s">
        <v>617</v>
      </c>
      <c r="K874" s="5"/>
      <c r="L874" s="5"/>
      <c r="M874" s="5"/>
      <c r="N874" s="5"/>
      <c r="O874" s="5"/>
      <c r="P874" s="5"/>
      <c r="Q874" s="5"/>
      <c r="R874" s="5"/>
      <c r="S874" s="5"/>
      <c r="T874" s="5"/>
      <c r="U874" s="5"/>
      <c r="V874" s="46"/>
      <c r="W874" s="1454">
        <v>8000</v>
      </c>
      <c r="X874" s="1454"/>
      <c r="Y874" s="1454"/>
      <c r="Z874" s="1454"/>
      <c r="AA874" s="1454"/>
      <c r="AB874" s="1454"/>
      <c r="AC874" s="1454"/>
      <c r="AU874" s="14"/>
      <c r="AZ874" s="34"/>
      <c r="BA874" s="34"/>
      <c r="BB874" s="34"/>
      <c r="BC874" s="34"/>
    </row>
    <row r="875" spans="3:55" ht="12.9" customHeight="1">
      <c r="J875" s="45" t="s">
        <v>522</v>
      </c>
      <c r="K875" s="5"/>
      <c r="L875" s="5"/>
      <c r="M875" s="5"/>
      <c r="N875" s="5"/>
      <c r="O875" s="5"/>
      <c r="P875" s="5"/>
      <c r="Q875" s="5"/>
      <c r="R875" s="5"/>
      <c r="S875" s="5"/>
      <c r="T875" s="5"/>
      <c r="U875" s="5"/>
      <c r="V875" s="46"/>
      <c r="W875" s="1454">
        <v>50000</v>
      </c>
      <c r="X875" s="1454"/>
      <c r="Y875" s="1454"/>
      <c r="Z875" s="1454"/>
      <c r="AA875" s="1454"/>
      <c r="AB875" s="1454"/>
      <c r="AC875" s="1454"/>
      <c r="AU875" s="4"/>
      <c r="AZ875" s="34"/>
      <c r="BA875" s="34"/>
      <c r="BB875" s="34"/>
      <c r="BC875" s="34"/>
    </row>
    <row r="876" spans="3:55" ht="12.9" customHeight="1">
      <c r="J876" s="45" t="s">
        <v>521</v>
      </c>
      <c r="K876" s="5"/>
      <c r="L876" s="5"/>
      <c r="M876" s="5"/>
      <c r="N876" s="5"/>
      <c r="O876" s="5"/>
      <c r="P876" s="5"/>
      <c r="Q876" s="5"/>
      <c r="R876" s="5"/>
      <c r="S876" s="5"/>
      <c r="T876" s="5"/>
      <c r="U876" s="5"/>
      <c r="V876" s="46"/>
      <c r="W876" s="1454">
        <v>26000</v>
      </c>
      <c r="X876" s="1454"/>
      <c r="Y876" s="1454"/>
      <c r="Z876" s="1454"/>
      <c r="AA876" s="1454"/>
      <c r="AB876" s="1454"/>
      <c r="AC876" s="1454"/>
      <c r="AU876" s="4"/>
      <c r="AZ876" s="34"/>
      <c r="BA876" s="34"/>
      <c r="BB876" s="34"/>
      <c r="BC876" s="34"/>
    </row>
    <row r="877" spans="3:55" ht="12.9" customHeight="1">
      <c r="J877" s="45" t="s">
        <v>520</v>
      </c>
      <c r="K877" s="5"/>
      <c r="L877" s="5"/>
      <c r="M877" s="5"/>
      <c r="N877" s="5"/>
      <c r="O877" s="5"/>
      <c r="P877" s="5"/>
      <c r="Q877" s="5"/>
      <c r="R877" s="5"/>
      <c r="S877" s="5"/>
      <c r="T877" s="5"/>
      <c r="U877" s="5"/>
      <c r="V877" s="46"/>
      <c r="W877" s="1454">
        <v>13000</v>
      </c>
      <c r="X877" s="1454"/>
      <c r="Y877" s="1454"/>
      <c r="Z877" s="1454"/>
      <c r="AA877" s="1454"/>
      <c r="AB877" s="1454"/>
      <c r="AC877" s="1454"/>
      <c r="AU877" s="4"/>
      <c r="AZ877" s="34"/>
      <c r="BA877" s="34"/>
      <c r="BB877" s="34"/>
      <c r="BC877" s="34"/>
    </row>
    <row r="878" spans="3:55" ht="12.9" customHeight="1">
      <c r="J878" s="45" t="s">
        <v>519</v>
      </c>
      <c r="K878" s="5"/>
      <c r="L878" s="5"/>
      <c r="M878" s="5"/>
      <c r="N878" s="5"/>
      <c r="O878" s="5"/>
      <c r="P878" s="5"/>
      <c r="Q878" s="5"/>
      <c r="R878" s="5"/>
      <c r="S878" s="5"/>
      <c r="T878" s="5"/>
      <c r="U878" s="5"/>
      <c r="V878" s="46"/>
      <c r="W878" s="1454">
        <v>10302</v>
      </c>
      <c r="X878" s="1454"/>
      <c r="Y878" s="1454"/>
      <c r="Z878" s="1454"/>
      <c r="AA878" s="1454"/>
      <c r="AB878" s="1454"/>
      <c r="AC878" s="1454"/>
      <c r="AU878" s="4"/>
      <c r="AZ878" s="34"/>
      <c r="BA878" s="34"/>
      <c r="BB878" s="34"/>
      <c r="BC878" s="34"/>
    </row>
    <row r="879" spans="3:55" ht="12.9" customHeight="1">
      <c r="J879" s="45" t="s">
        <v>518</v>
      </c>
      <c r="K879" s="5"/>
      <c r="L879" s="5"/>
      <c r="M879" s="5"/>
      <c r="N879" s="5"/>
      <c r="O879" s="5"/>
      <c r="P879" s="5"/>
      <c r="Q879" s="5"/>
      <c r="R879" s="5"/>
      <c r="S879" s="5"/>
      <c r="T879" s="5"/>
      <c r="U879" s="5"/>
      <c r="V879" s="46"/>
      <c r="W879" s="1454">
        <v>35000</v>
      </c>
      <c r="X879" s="1454"/>
      <c r="Y879" s="1454"/>
      <c r="Z879" s="1454"/>
      <c r="AA879" s="1454"/>
      <c r="AB879" s="1454"/>
      <c r="AC879" s="1454"/>
      <c r="AU879" s="4"/>
      <c r="AZ879" s="34"/>
      <c r="BA879" s="34"/>
      <c r="BB879" s="34"/>
      <c r="BC879" s="34"/>
    </row>
    <row r="880" spans="3:55" ht="12.9" customHeight="1">
      <c r="J880" s="45" t="s">
        <v>170</v>
      </c>
      <c r="K880" s="5"/>
      <c r="L880" s="5"/>
      <c r="M880" s="1447" t="s">
        <v>2715</v>
      </c>
      <c r="N880" s="1448"/>
      <c r="O880" s="1448"/>
      <c r="P880" s="1448"/>
      <c r="Q880" s="1448"/>
      <c r="R880" s="1448"/>
      <c r="S880" s="1448"/>
      <c r="T880" s="1448"/>
      <c r="U880" s="1448"/>
      <c r="V880" s="1449"/>
      <c r="W880" s="1454">
        <v>35000</v>
      </c>
      <c r="X880" s="1454"/>
      <c r="Y880" s="1454"/>
      <c r="Z880" s="1454"/>
      <c r="AA880" s="1454"/>
      <c r="AB880" s="1454"/>
      <c r="AC880" s="1454"/>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275</v>
      </c>
      <c r="W881" s="1475">
        <f>SUM(W874:W880)</f>
        <v>177302</v>
      </c>
      <c r="X881" s="1475"/>
      <c r="Y881" s="1475"/>
      <c r="Z881" s="1475"/>
      <c r="AA881" s="1475"/>
      <c r="AB881" s="1475"/>
      <c r="AC881" s="1475"/>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170</v>
      </c>
      <c r="K883" s="5"/>
      <c r="L883" s="5"/>
      <c r="M883" s="1447" t="s">
        <v>2716</v>
      </c>
      <c r="N883" s="1448"/>
      <c r="O883" s="1448"/>
      <c r="P883" s="1448"/>
      <c r="Q883" s="1448"/>
      <c r="R883" s="1448"/>
      <c r="S883" s="1448"/>
      <c r="T883" s="1448"/>
      <c r="U883" s="1448"/>
      <c r="V883" s="1449"/>
      <c r="W883" s="1457">
        <v>1920</v>
      </c>
      <c r="X883" s="1458"/>
      <c r="Y883" s="1458"/>
      <c r="Z883" s="1458"/>
      <c r="AA883" s="1458"/>
      <c r="AB883" s="1458"/>
      <c r="AC883" s="1459"/>
      <c r="AD883" s="533"/>
      <c r="AV883" s="14"/>
      <c r="AW883" s="14"/>
      <c r="AX883" s="14"/>
      <c r="AY883" s="14"/>
      <c r="AZ883" s="34"/>
      <c r="BA883" s="34"/>
      <c r="BB883" s="34"/>
      <c r="BC883" s="34"/>
    </row>
    <row r="884" spans="3:55" ht="12.9" customHeight="1">
      <c r="C884" s="2" t="s">
        <v>1243</v>
      </c>
      <c r="J884" s="45" t="s">
        <v>170</v>
      </c>
      <c r="K884" s="5"/>
      <c r="L884" s="5"/>
      <c r="M884" s="1447" t="s">
        <v>334</v>
      </c>
      <c r="N884" s="1448"/>
      <c r="O884" s="1448"/>
      <c r="P884" s="1448"/>
      <c r="Q884" s="1448"/>
      <c r="R884" s="1448"/>
      <c r="S884" s="1448"/>
      <c r="T884" s="1448"/>
      <c r="U884" s="1448"/>
      <c r="V884" s="1449"/>
      <c r="W884" s="1457"/>
      <c r="X884" s="1458"/>
      <c r="Y884" s="1458"/>
      <c r="Z884" s="1458"/>
      <c r="AA884" s="1458"/>
      <c r="AB884" s="1458"/>
      <c r="AC884" s="1459"/>
      <c r="AD884" s="533"/>
      <c r="AV884" s="14"/>
      <c r="AW884" s="14"/>
      <c r="AX884" s="14"/>
      <c r="AY884" s="14"/>
      <c r="AZ884" s="34"/>
      <c r="BA884" s="34"/>
      <c r="BB884" s="34"/>
      <c r="BC884" s="34"/>
    </row>
    <row r="885" spans="3:55" ht="12.9" customHeight="1">
      <c r="J885" s="45" t="s">
        <v>170</v>
      </c>
      <c r="K885" s="5"/>
      <c r="L885" s="5"/>
      <c r="M885" s="1447" t="s">
        <v>334</v>
      </c>
      <c r="N885" s="1448"/>
      <c r="O885" s="1448"/>
      <c r="P885" s="1448"/>
      <c r="Q885" s="1448"/>
      <c r="R885" s="1448"/>
      <c r="S885" s="1448"/>
      <c r="T885" s="1448"/>
      <c r="U885" s="1448"/>
      <c r="V885" s="1449"/>
      <c r="W885" s="1457"/>
      <c r="X885" s="1458"/>
      <c r="Y885" s="1458"/>
      <c r="Z885" s="1458"/>
      <c r="AA885" s="1458"/>
      <c r="AB885" s="1458"/>
      <c r="AC885" s="1459"/>
      <c r="AL885" s="14"/>
      <c r="AM885" s="14"/>
      <c r="AN885" s="14"/>
      <c r="AO885" s="14"/>
      <c r="AP885" s="14"/>
      <c r="AQ885" s="14"/>
      <c r="AR885" s="14"/>
      <c r="AS885" s="14"/>
      <c r="AT885" s="14"/>
      <c r="AV885" s="4"/>
      <c r="AW885" s="4"/>
      <c r="AX885" s="4"/>
      <c r="AY885" s="4"/>
      <c r="AZ885" s="34"/>
      <c r="BA885" s="34"/>
      <c r="BB885" s="34"/>
      <c r="BC885" s="34"/>
    </row>
    <row r="886" spans="3:55" ht="12.9" customHeight="1">
      <c r="J886" s="45" t="s">
        <v>170</v>
      </c>
      <c r="K886" s="5"/>
      <c r="L886" s="5"/>
      <c r="M886" s="1447" t="s">
        <v>334</v>
      </c>
      <c r="N886" s="1448"/>
      <c r="O886" s="1448"/>
      <c r="P886" s="1448"/>
      <c r="Q886" s="1448"/>
      <c r="R886" s="1448"/>
      <c r="S886" s="1448"/>
      <c r="T886" s="1448"/>
      <c r="U886" s="1448"/>
      <c r="V886" s="1449"/>
      <c r="W886" s="1457"/>
      <c r="X886" s="1458"/>
      <c r="Y886" s="1458"/>
      <c r="Z886" s="1458"/>
      <c r="AA886" s="1458"/>
      <c r="AB886" s="1458"/>
      <c r="AC886" s="1459"/>
      <c r="AL886" s="14"/>
      <c r="AM886" s="14"/>
      <c r="AN886" s="14"/>
      <c r="AO886" s="14"/>
      <c r="AP886" s="14"/>
      <c r="AQ886" s="14"/>
      <c r="AR886" s="14"/>
      <c r="AS886" s="14"/>
      <c r="AT886" s="14"/>
      <c r="AV886" s="4"/>
      <c r="AW886" s="4"/>
      <c r="AX886" s="4"/>
      <c r="AY886" s="4"/>
      <c r="AZ886" s="34"/>
      <c r="BA886" s="34"/>
      <c r="BB886" s="34"/>
      <c r="BC886" s="34"/>
    </row>
    <row r="887" spans="3:55" ht="12.9" customHeight="1">
      <c r="J887" s="45" t="s">
        <v>170</v>
      </c>
      <c r="K887" s="5"/>
      <c r="L887" s="5"/>
      <c r="M887" s="1447" t="s">
        <v>334</v>
      </c>
      <c r="N887" s="1448"/>
      <c r="O887" s="1448"/>
      <c r="P887" s="1448"/>
      <c r="Q887" s="1448"/>
      <c r="R887" s="1448"/>
      <c r="S887" s="1448"/>
      <c r="T887" s="1448"/>
      <c r="U887" s="1448"/>
      <c r="V887" s="1449"/>
      <c r="W887" s="1457"/>
      <c r="X887" s="1458"/>
      <c r="Y887" s="1458"/>
      <c r="Z887" s="1458"/>
      <c r="AA887" s="1458"/>
      <c r="AB887" s="1458"/>
      <c r="AC887" s="1459"/>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276</v>
      </c>
      <c r="W888" s="1653">
        <f>SUM(W883:W887)</f>
        <v>1920</v>
      </c>
      <c r="X888" s="1654"/>
      <c r="Y888" s="1654"/>
      <c r="Z888" s="1654"/>
      <c r="AA888" s="1654"/>
      <c r="AB888" s="1654"/>
      <c r="AC888" s="1655"/>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654">
        <f>W855+W863+W870+W872+W881+W888+W857</f>
        <v>1111738</v>
      </c>
      <c r="AD892" s="1654"/>
      <c r="AE892" s="1654"/>
      <c r="AF892" s="1654"/>
      <c r="AG892" s="1654"/>
      <c r="AH892" s="1655"/>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6">
        <f>O805+O785+G761</f>
        <v>95</v>
      </c>
      <c r="AD893" s="1656"/>
      <c r="AE893" s="1656"/>
      <c r="AF893" s="1656"/>
      <c r="AG893" s="1656"/>
      <c r="AH893" s="1657"/>
      <c r="AL893" s="4"/>
      <c r="AM893" s="4"/>
      <c r="AN893" s="4"/>
      <c r="AO893" s="4"/>
      <c r="AP893" s="4"/>
      <c r="AQ893" s="4"/>
      <c r="AR893" s="4"/>
      <c r="AS893" s="4"/>
      <c r="AT893" s="4"/>
      <c r="AZ893" s="34"/>
      <c r="BA893" s="34"/>
      <c r="BB893" s="34"/>
      <c r="BC893" s="34"/>
    </row>
    <row r="894" spans="3:55" ht="12.9" customHeight="1">
      <c r="C894" s="41"/>
      <c r="D894" s="42"/>
      <c r="E894" s="1680" t="s">
        <v>32</v>
      </c>
      <c r="F894" s="1680"/>
      <c r="G894" s="1680"/>
      <c r="H894" s="1680"/>
      <c r="I894" s="1680"/>
      <c r="J894" s="1680"/>
      <c r="K894" s="1680"/>
      <c r="L894" s="1680"/>
      <c r="M894" s="1680"/>
      <c r="N894" s="1680"/>
      <c r="O894" s="1680"/>
      <c r="P894" s="1680"/>
      <c r="Q894" s="1680"/>
      <c r="R894" s="1680"/>
      <c r="S894" s="1680"/>
      <c r="T894" s="1680"/>
      <c r="U894" s="1680"/>
      <c r="V894" s="1680"/>
      <c r="W894" s="1680"/>
      <c r="X894" s="1680"/>
      <c r="Y894" s="1680"/>
      <c r="Z894" s="1680"/>
      <c r="AA894" s="1680"/>
      <c r="AB894" s="1681"/>
      <c r="AC894" s="1475">
        <f>IF(ISERROR((ROUNDDOWN(AC892/AC893,0))),0,(ROUNDDOWN(AC892/AC893,0)))</f>
        <v>11702</v>
      </c>
      <c r="AD894" s="1475"/>
      <c r="AE894" s="1475"/>
      <c r="AF894" s="1475"/>
      <c r="AG894" s="1475"/>
      <c r="AH894" s="1475"/>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455">
        <v>479864</v>
      </c>
      <c r="AD895" s="1456"/>
      <c r="AE895" s="1456"/>
      <c r="AF895" s="1456"/>
      <c r="AG895" s="1456"/>
      <c r="AH895" s="1456"/>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9"/>
      <c r="AD896" s="1454"/>
      <c r="AE896" s="1454"/>
      <c r="AF896" s="1454"/>
      <c r="AG896" s="1454"/>
      <c r="AH896" s="1454"/>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8">
        <v>35000</v>
      </c>
      <c r="AD897" s="1458"/>
      <c r="AE897" s="1458"/>
      <c r="AF897" s="1458"/>
      <c r="AG897" s="1458"/>
      <c r="AH897" s="1459"/>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8">
        <v>47100</v>
      </c>
      <c r="AD898" s="1458"/>
      <c r="AE898" s="1458"/>
      <c r="AF898" s="1458"/>
      <c r="AG898" s="1458"/>
      <c r="AH898" s="1459"/>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50"/>
      <c r="AD899" s="1451"/>
      <c r="AE899" s="1451"/>
      <c r="AF899" s="1451"/>
      <c r="AG899" s="1451"/>
      <c r="AH899" s="1452"/>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8">
        <v>26028</v>
      </c>
      <c r="AD900" s="1458"/>
      <c r="AE900" s="1458"/>
      <c r="AF900" s="1458"/>
      <c r="AG900" s="1458"/>
      <c r="AH900" s="1459"/>
      <c r="AZ900" s="34"/>
      <c r="BA900" s="34"/>
      <c r="BB900" s="34"/>
      <c r="BC900" s="34"/>
    </row>
    <row r="901" spans="1:58" ht="12.9" hidden="1" customHeight="1">
      <c r="C901" s="1537" t="s">
        <v>2185</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458"/>
      <c r="AD901" s="1458"/>
      <c r="AE901" s="1458"/>
      <c r="AF901" s="1458"/>
      <c r="AG901" s="1458"/>
      <c r="AH901" s="1459"/>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8"/>
      <c r="AD902" s="1458"/>
      <c r="AE902" s="1458"/>
      <c r="AF902" s="1458"/>
      <c r="AG902" s="1458"/>
      <c r="AH902" s="1459"/>
      <c r="AZ902" s="34"/>
      <c r="BA902" s="34"/>
      <c r="BB902" s="34"/>
      <c r="BC902" s="34"/>
    </row>
    <row r="903" spans="1:58" ht="12.9" customHeight="1">
      <c r="C903" s="1650" t="s">
        <v>2740</v>
      </c>
      <c r="D903" s="1651"/>
      <c r="E903" s="1651"/>
      <c r="F903" s="1651"/>
      <c r="G903" s="1651"/>
      <c r="H903" s="1651"/>
      <c r="I903" s="1651"/>
      <c r="J903" s="1651"/>
      <c r="K903" s="1651"/>
      <c r="L903" s="1651"/>
      <c r="M903" s="1651"/>
      <c r="N903" s="1651"/>
      <c r="O903" s="1651"/>
      <c r="P903" s="1651"/>
      <c r="Q903" s="1651"/>
      <c r="R903" s="1651"/>
      <c r="S903" s="1651"/>
      <c r="T903" s="1651"/>
      <c r="U903" s="1651"/>
      <c r="V903" s="1651"/>
      <c r="W903" s="1651"/>
      <c r="X903" s="1651"/>
      <c r="Y903" s="1651"/>
      <c r="Z903" s="1651"/>
      <c r="AA903" s="1651"/>
      <c r="AB903" s="1652"/>
      <c r="AC903" s="1454">
        <v>7239</v>
      </c>
      <c r="AD903" s="1454"/>
      <c r="AE903" s="1454"/>
      <c r="AF903" s="1454"/>
      <c r="AG903" s="1454"/>
      <c r="AH903" s="1454"/>
      <c r="AZ903" s="34"/>
      <c r="BA903" s="34"/>
      <c r="BB903" s="34"/>
      <c r="BC903" s="34"/>
    </row>
    <row r="904" spans="1:58" ht="12.9" customHeight="1">
      <c r="C904" s="1650" t="s">
        <v>2739</v>
      </c>
      <c r="D904" s="1651"/>
      <c r="E904" s="1651"/>
      <c r="F904" s="1651"/>
      <c r="G904" s="1651"/>
      <c r="H904" s="1651"/>
      <c r="I904" s="1651"/>
      <c r="J904" s="1651"/>
      <c r="K904" s="1651"/>
      <c r="L904" s="1651"/>
      <c r="M904" s="1651"/>
      <c r="N904" s="1651"/>
      <c r="O904" s="1651"/>
      <c r="P904" s="1651"/>
      <c r="Q904" s="1651"/>
      <c r="R904" s="1651"/>
      <c r="S904" s="1651"/>
      <c r="T904" s="1651"/>
      <c r="U904" s="1651"/>
      <c r="V904" s="1651"/>
      <c r="W904" s="1651"/>
      <c r="X904" s="1651"/>
      <c r="Y904" s="1651"/>
      <c r="Z904" s="1651"/>
      <c r="AA904" s="1651"/>
      <c r="AB904" s="1652"/>
      <c r="AC904" s="1454">
        <v>12025</v>
      </c>
      <c r="AD904" s="1454"/>
      <c r="AE904" s="1454"/>
      <c r="AF904" s="1454"/>
      <c r="AG904" s="1454"/>
      <c r="AH904" s="1454"/>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613</v>
      </c>
      <c r="C906" s="2" t="s">
        <v>237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238</v>
      </c>
      <c r="I908" s="5"/>
      <c r="J908" s="5"/>
      <c r="K908" s="5"/>
      <c r="L908" s="5"/>
      <c r="M908" s="5"/>
      <c r="N908" s="5"/>
      <c r="O908" s="5"/>
      <c r="P908" s="5"/>
      <c r="Q908" s="5"/>
      <c r="R908" s="5"/>
      <c r="S908" s="5"/>
      <c r="T908" s="5"/>
      <c r="U908" s="5"/>
      <c r="V908" s="5"/>
      <c r="W908" s="5"/>
      <c r="X908" s="5"/>
      <c r="Y908" s="46"/>
      <c r="Z908" s="1457">
        <v>0</v>
      </c>
      <c r="AA908" s="1458"/>
      <c r="AB908" s="1458"/>
      <c r="AC908" s="1458"/>
      <c r="AD908" s="1458"/>
      <c r="AE908" s="1459"/>
      <c r="AF908" s="533"/>
      <c r="AZ908" s="34"/>
      <c r="BB908" s="30"/>
      <c r="BC908" s="812"/>
      <c r="BD908" s="1678"/>
      <c r="BE908" s="1678"/>
      <c r="BF908" s="14"/>
    </row>
    <row r="909" spans="1:58" ht="12.9" customHeight="1">
      <c r="H909" s="121" t="s">
        <v>239</v>
      </c>
      <c r="I909" s="5"/>
      <c r="J909" s="5"/>
      <c r="K909" s="5"/>
      <c r="L909" s="5"/>
      <c r="M909" s="5"/>
      <c r="N909" s="5"/>
      <c r="O909" s="5"/>
      <c r="P909" s="5"/>
      <c r="Q909" s="5"/>
      <c r="R909" s="5"/>
      <c r="S909" s="5"/>
      <c r="T909" s="5"/>
      <c r="U909" s="5"/>
      <c r="V909" s="5"/>
      <c r="W909" s="5"/>
      <c r="X909" s="5"/>
      <c r="Y909" s="5"/>
      <c r="Z909" s="1457">
        <v>0</v>
      </c>
      <c r="AA909" s="1458"/>
      <c r="AB909" s="1458"/>
      <c r="AC909" s="1458"/>
      <c r="AD909" s="1458"/>
      <c r="AE909" s="1459"/>
      <c r="AZ909" s="34"/>
      <c r="BB909" s="30"/>
      <c r="BC909" s="812"/>
      <c r="BD909" s="1678"/>
      <c r="BE909" s="1678"/>
      <c r="BF909" s="14"/>
    </row>
    <row r="910" spans="1:58" ht="12.9" customHeight="1">
      <c r="H910" s="121" t="s">
        <v>240</v>
      </c>
      <c r="I910" s="5"/>
      <c r="J910" s="5"/>
      <c r="K910" s="5"/>
      <c r="L910" s="5"/>
      <c r="M910" s="5"/>
      <c r="N910" s="5"/>
      <c r="O910" s="5"/>
      <c r="P910" s="5"/>
      <c r="Q910" s="5"/>
      <c r="R910" s="5"/>
      <c r="S910" s="5"/>
      <c r="T910" s="5"/>
      <c r="U910" s="5"/>
      <c r="V910" s="5"/>
      <c r="W910" s="5"/>
      <c r="X910" s="5"/>
      <c r="Y910" s="5"/>
      <c r="Z910" s="1457">
        <v>0</v>
      </c>
      <c r="AA910" s="1458"/>
      <c r="AB910" s="1458"/>
      <c r="AC910" s="1458"/>
      <c r="AD910" s="1458"/>
      <c r="AE910" s="1459"/>
      <c r="AZ910" s="34"/>
      <c r="BB910" s="30"/>
      <c r="BC910" s="812"/>
      <c r="BD910" s="1677"/>
      <c r="BE910" s="1677"/>
      <c r="BF910" s="14"/>
    </row>
    <row r="911" spans="1:58" ht="12.9" customHeight="1">
      <c r="H911" s="45"/>
      <c r="I911" s="5"/>
      <c r="J911" s="5"/>
      <c r="K911" s="5"/>
      <c r="L911" s="5"/>
      <c r="M911" s="5"/>
      <c r="N911" s="5"/>
      <c r="O911" s="5"/>
      <c r="P911" s="5"/>
      <c r="Q911" s="5"/>
      <c r="R911" s="5"/>
      <c r="S911" s="5"/>
      <c r="T911" s="5"/>
      <c r="U911" s="5"/>
      <c r="V911" s="5"/>
      <c r="W911" s="5"/>
      <c r="X911" s="5"/>
      <c r="Y911" s="181" t="s">
        <v>241</v>
      </c>
      <c r="Z911" s="1653">
        <f>Z908-(Z909+Z910)</f>
        <v>0</v>
      </c>
      <c r="AA911" s="1654"/>
      <c r="AB911" s="1654"/>
      <c r="AC911" s="1654"/>
      <c r="AD911" s="1654"/>
      <c r="AE911" s="1655"/>
      <c r="AZ911" s="34"/>
      <c r="BB911" s="30"/>
      <c r="BC911" s="812"/>
      <c r="BD911" s="1677"/>
      <c r="BE911" s="1677"/>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7"/>
      <c r="BE912" s="1677"/>
      <c r="BF912" s="14"/>
    </row>
    <row r="913" spans="1:58" ht="12.9"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8"/>
      <c r="BE913" s="1677"/>
      <c r="BF913" s="14"/>
    </row>
    <row r="914" spans="1:58" ht="12.9"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52"/>
      <c r="BE914" s="1752"/>
      <c r="BF914" s="1752"/>
    </row>
    <row r="915" spans="1:58" ht="12.9"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0"/>
      <c r="BE915" s="1690"/>
      <c r="BF915" s="1690"/>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7"/>
      <c r="BE916" s="1677"/>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8"/>
      <c r="BE917" s="1677"/>
      <c r="BF917" s="14"/>
    </row>
    <row r="918" spans="1:58" ht="12.9" customHeight="1">
      <c r="AZ918" s="34"/>
      <c r="BB918" s="30"/>
      <c r="BC918" s="812"/>
    </row>
    <row r="919" spans="1:58" ht="12.9" customHeight="1">
      <c r="A919" s="1509" t="s">
        <v>96</v>
      </c>
      <c r="B919" s="1509"/>
      <c r="C919" s="1509"/>
      <c r="D919" s="1509"/>
      <c r="E919" s="1509"/>
      <c r="F919" s="1509"/>
      <c r="G919" s="1509"/>
      <c r="H919" s="1509"/>
      <c r="I919" s="1509"/>
      <c r="J919" s="1509"/>
      <c r="K919" s="1509"/>
      <c r="L919" s="1509"/>
      <c r="M919" s="1509"/>
      <c r="N919" s="1509"/>
      <c r="O919" s="1509"/>
      <c r="P919" s="1509"/>
      <c r="Q919" s="1509"/>
      <c r="R919" s="1509"/>
      <c r="S919" s="1509"/>
      <c r="T919" s="1509"/>
      <c r="U919" s="1509"/>
      <c r="V919" s="1509"/>
      <c r="W919" s="1509"/>
      <c r="X919" s="1509"/>
      <c r="Y919" s="1509"/>
      <c r="Z919" s="1509"/>
      <c r="AA919" s="1509"/>
      <c r="AB919" s="1509"/>
      <c r="AC919" s="1509"/>
      <c r="AD919" s="1509"/>
      <c r="AE919" s="1509"/>
      <c r="AF919" s="1509"/>
      <c r="AG919" s="1509"/>
      <c r="AH919" s="1509"/>
      <c r="AI919" s="1509"/>
      <c r="AJ919" s="1509"/>
      <c r="AK919" s="1509"/>
      <c r="AL919" s="1509"/>
      <c r="AM919" s="1509"/>
      <c r="AN919" s="1509"/>
      <c r="AO919" s="1509"/>
      <c r="AP919" s="1509"/>
      <c r="AQ919" s="1509"/>
      <c r="AR919" s="1509"/>
      <c r="AS919" s="1509"/>
      <c r="AT919" s="1509"/>
      <c r="AZ919" s="34"/>
      <c r="BA919" s="34"/>
      <c r="BB919" s="30"/>
      <c r="BC919" s="30"/>
      <c r="BD919" s="1678"/>
      <c r="BE919" s="1677"/>
      <c r="BF919" s="907"/>
    </row>
    <row r="920" spans="1:58" ht="12.9" customHeight="1">
      <c r="A920" s="1509"/>
      <c r="B920" s="1509"/>
      <c r="C920" s="1509"/>
      <c r="D920" s="1509"/>
      <c r="E920" s="1509"/>
      <c r="F920" s="1509"/>
      <c r="G920" s="1509"/>
      <c r="H920" s="1509"/>
      <c r="I920" s="1509"/>
      <c r="J920" s="1509"/>
      <c r="K920" s="1509"/>
      <c r="L920" s="1509"/>
      <c r="M920" s="1509"/>
      <c r="N920" s="1509"/>
      <c r="O920" s="1509"/>
      <c r="P920" s="1509"/>
      <c r="Q920" s="1509"/>
      <c r="R920" s="1509"/>
      <c r="S920" s="1509"/>
      <c r="T920" s="1509"/>
      <c r="U920" s="1509"/>
      <c r="V920" s="1509"/>
      <c r="W920" s="1509"/>
      <c r="X920" s="1509"/>
      <c r="Y920" s="1509"/>
      <c r="Z920" s="1509"/>
      <c r="AA920" s="1509"/>
      <c r="AB920" s="1509"/>
      <c r="AC920" s="1509"/>
      <c r="AD920" s="1509"/>
      <c r="AE920" s="1509"/>
      <c r="AF920" s="1509"/>
      <c r="AG920" s="1509"/>
      <c r="AH920" s="1509"/>
      <c r="AI920" s="1509"/>
      <c r="AJ920" s="1509"/>
      <c r="AK920" s="1509"/>
      <c r="AL920" s="1509"/>
      <c r="AM920" s="1509"/>
      <c r="AN920" s="1509"/>
      <c r="AO920" s="1509"/>
      <c r="AP920" s="1509"/>
      <c r="AQ920" s="1509"/>
      <c r="AR920" s="1509"/>
      <c r="AS920" s="1509"/>
      <c r="AT920" s="1509"/>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749" t="s">
        <v>792</v>
      </c>
      <c r="G924" s="1750"/>
      <c r="H924" s="1750"/>
      <c r="I924" s="1750"/>
      <c r="J924" s="1750"/>
      <c r="K924" s="1750"/>
      <c r="L924" s="1750"/>
      <c r="M924" s="1750"/>
      <c r="N924" s="1750"/>
      <c r="O924" s="1750"/>
      <c r="P924" s="1750"/>
      <c r="Q924" s="1750"/>
      <c r="R924" s="1750"/>
      <c r="S924" s="1750"/>
      <c r="T924" s="1751"/>
      <c r="U924" s="1600" t="s">
        <v>31</v>
      </c>
      <c r="V924" s="1601"/>
      <c r="W924" s="1601"/>
      <c r="X924" s="1601"/>
      <c r="Y924" s="1601"/>
      <c r="Z924" s="1601"/>
      <c r="AA924" s="43"/>
      <c r="AB924" s="105"/>
      <c r="AC924" s="105"/>
      <c r="AD924" s="105"/>
      <c r="AE924" s="105"/>
      <c r="AF924" s="106"/>
      <c r="AZ924" s="34"/>
      <c r="BA924" s="34"/>
      <c r="BB924" s="34"/>
      <c r="BC924" s="34"/>
    </row>
    <row r="925" spans="1:58" ht="12.9" customHeight="1">
      <c r="B925" s="2"/>
      <c r="F925" s="1602" t="s">
        <v>818</v>
      </c>
      <c r="G925" s="1603"/>
      <c r="H925" s="1603"/>
      <c r="I925" s="1603"/>
      <c r="J925" s="1603"/>
      <c r="K925" s="1603"/>
      <c r="L925" s="1603"/>
      <c r="M925" s="1603"/>
      <c r="N925" s="1603"/>
      <c r="O925" s="1603"/>
      <c r="P925" s="1603"/>
      <c r="Q925" s="1603"/>
      <c r="R925" s="1603"/>
      <c r="S925" s="1603"/>
      <c r="T925" s="1645"/>
      <c r="U925" s="1602"/>
      <c r="V925" s="1603"/>
      <c r="W925" s="1603"/>
      <c r="X925" s="1603"/>
      <c r="Y925" s="1603"/>
      <c r="Z925" s="1603"/>
      <c r="AA925" s="44"/>
      <c r="AB925" s="4"/>
      <c r="AC925" s="4"/>
      <c r="AD925" s="4"/>
      <c r="AE925" s="4"/>
      <c r="AF925" s="107"/>
      <c r="AZ925" s="34"/>
      <c r="BA925" s="34"/>
      <c r="BB925" s="34"/>
      <c r="BC925" s="34"/>
    </row>
    <row r="926" spans="1:58" ht="12.9" customHeight="1">
      <c r="B926" s="2"/>
      <c r="F926" s="1604"/>
      <c r="G926" s="1605"/>
      <c r="H926" s="1605"/>
      <c r="I926" s="1605"/>
      <c r="J926" s="1605"/>
      <c r="K926" s="1605"/>
      <c r="L926" s="1605"/>
      <c r="M926" s="1605"/>
      <c r="N926" s="1605"/>
      <c r="O926" s="1605"/>
      <c r="P926" s="1605"/>
      <c r="Q926" s="1605"/>
      <c r="R926" s="1605"/>
      <c r="S926" s="1605"/>
      <c r="T926" s="1646"/>
      <c r="U926" s="1604"/>
      <c r="V926" s="1605"/>
      <c r="W926" s="1605"/>
      <c r="X926" s="1605"/>
      <c r="Y926" s="1605"/>
      <c r="Z926" s="1605"/>
      <c r="AA926" s="108"/>
      <c r="AB926" s="1682" t="s">
        <v>391</v>
      </c>
      <c r="AC926" s="1682"/>
      <c r="AD926" s="1682"/>
      <c r="AE926" s="1682"/>
      <c r="AF926" s="109"/>
      <c r="AZ926" s="34"/>
      <c r="BA926" s="34"/>
      <c r="BB926" s="34"/>
      <c r="BC926" s="34"/>
    </row>
    <row r="927" spans="1:58" ht="12.9" customHeight="1">
      <c r="B927" s="2"/>
      <c r="F927" s="45" t="s">
        <v>758</v>
      </c>
      <c r="G927" s="48"/>
      <c r="H927" s="48"/>
      <c r="I927" s="48"/>
      <c r="J927" s="48"/>
      <c r="K927" s="48"/>
      <c r="L927" s="48"/>
      <c r="M927" s="48"/>
      <c r="N927" s="48"/>
      <c r="O927" s="48"/>
      <c r="P927" s="48"/>
      <c r="Q927" s="48"/>
      <c r="R927" s="48"/>
      <c r="S927" s="48"/>
      <c r="T927" s="49"/>
      <c r="U927" s="1380" t="s">
        <v>545</v>
      </c>
      <c r="V927" s="1381"/>
      <c r="W927" s="1381"/>
      <c r="X927" s="1381"/>
      <c r="Y927" s="1381"/>
      <c r="Z927" s="1382"/>
      <c r="AA927" s="1415">
        <f>+AM562</f>
        <v>16422285</v>
      </c>
      <c r="AB927" s="1416"/>
      <c r="AC927" s="1416"/>
      <c r="AD927" s="1416"/>
      <c r="AE927" s="1416"/>
      <c r="AF927" s="1417"/>
      <c r="AG927" s="1191" t="str">
        <f>IF(NOT(AA927=AW927),"!","")</f>
        <v/>
      </c>
      <c r="AH927" s="3"/>
      <c r="AW927" s="1346">
        <f>SUMIF($M$562:$M$573,"Loan, Tax-Exempt",$AM$562:$AM$573)</f>
        <v>16422285</v>
      </c>
      <c r="AX927" s="1346"/>
      <c r="AY927" s="1346"/>
      <c r="AZ927" s="3" t="s">
        <v>2536</v>
      </c>
      <c r="BA927" s="34"/>
      <c r="BB927" s="34"/>
      <c r="BC927" s="34"/>
    </row>
    <row r="928" spans="1:58" ht="12.9" customHeight="1">
      <c r="B928" s="2"/>
      <c r="F928" s="66" t="s">
        <v>675</v>
      </c>
      <c r="G928" s="48"/>
      <c r="H928" s="48"/>
      <c r="I928" s="48"/>
      <c r="J928" s="48"/>
      <c r="K928" s="48"/>
      <c r="L928" s="48"/>
      <c r="M928" s="48"/>
      <c r="N928" s="48"/>
      <c r="O928" s="48"/>
      <c r="P928" s="48"/>
      <c r="Q928" s="48"/>
      <c r="R928" s="48"/>
      <c r="S928" s="48"/>
      <c r="T928" s="49"/>
      <c r="U928" s="1380" t="s">
        <v>545</v>
      </c>
      <c r="V928" s="1381"/>
      <c r="W928" s="1381"/>
      <c r="X928" s="1381"/>
      <c r="Y928" s="1381"/>
      <c r="Z928" s="1382"/>
      <c r="AA928" s="1415">
        <f>+AM563</f>
        <v>14715624</v>
      </c>
      <c r="AB928" s="1416"/>
      <c r="AC928" s="1416"/>
      <c r="AD928" s="1416"/>
      <c r="AE928" s="1416"/>
      <c r="AF928" s="1417"/>
      <c r="AZ928" s="34"/>
      <c r="BA928" s="34"/>
      <c r="BB928" s="34"/>
      <c r="BC928" s="34"/>
    </row>
    <row r="929" spans="6:55" ht="12.9" customHeight="1">
      <c r="F929" s="45" t="s">
        <v>801</v>
      </c>
      <c r="G929" s="5"/>
      <c r="H929" s="5"/>
      <c r="I929" s="5"/>
      <c r="J929" s="5"/>
      <c r="K929" s="5"/>
      <c r="L929" s="5"/>
      <c r="M929" s="5"/>
      <c r="N929" s="5"/>
      <c r="O929" s="5"/>
      <c r="P929" s="5"/>
      <c r="Q929" s="5"/>
      <c r="R929" s="5"/>
      <c r="S929" s="5"/>
      <c r="T929" s="46"/>
      <c r="U929" s="1380" t="s">
        <v>591</v>
      </c>
      <c r="V929" s="1381"/>
      <c r="W929" s="1381"/>
      <c r="X929" s="1381"/>
      <c r="Y929" s="1381"/>
      <c r="Z929" s="1382"/>
      <c r="AA929" s="1415"/>
      <c r="AB929" s="1416"/>
      <c r="AC929" s="1416"/>
      <c r="AD929" s="1416"/>
      <c r="AE929" s="1416"/>
      <c r="AF929" s="1417"/>
      <c r="AZ929" s="34"/>
      <c r="BA929" s="34"/>
      <c r="BB929" s="34"/>
      <c r="BC929" s="34"/>
    </row>
    <row r="930" spans="6:55" ht="12.9" customHeight="1">
      <c r="F930" s="45" t="s">
        <v>678</v>
      </c>
      <c r="G930" s="5"/>
      <c r="H930" s="5"/>
      <c r="I930" s="5"/>
      <c r="J930" s="5"/>
      <c r="K930" s="5"/>
      <c r="L930" s="5"/>
      <c r="M930" s="5"/>
      <c r="N930" s="5"/>
      <c r="O930" s="5"/>
      <c r="P930" s="5"/>
      <c r="Q930" s="5"/>
      <c r="R930" s="5"/>
      <c r="S930" s="5"/>
      <c r="T930" s="46"/>
      <c r="U930" s="1380" t="s">
        <v>591</v>
      </c>
      <c r="V930" s="1381"/>
      <c r="W930" s="1381"/>
      <c r="X930" s="1381"/>
      <c r="Y930" s="1381"/>
      <c r="Z930" s="1382"/>
      <c r="AA930" s="1415"/>
      <c r="AB930" s="1416"/>
      <c r="AC930" s="1416"/>
      <c r="AD930" s="1416"/>
      <c r="AE930" s="1416"/>
      <c r="AF930" s="1417"/>
      <c r="AZ930" s="34"/>
      <c r="BA930" s="34"/>
      <c r="BB930" s="34"/>
      <c r="BC930" s="34"/>
    </row>
    <row r="931" spans="6:55" ht="12.9" customHeight="1">
      <c r="F931" s="66" t="s">
        <v>786</v>
      </c>
      <c r="G931" s="5"/>
      <c r="H931" s="5"/>
      <c r="I931" s="5"/>
      <c r="J931" s="5"/>
      <c r="K931" s="5"/>
      <c r="L931" s="5"/>
      <c r="M931" s="5"/>
      <c r="N931" s="5"/>
      <c r="O931" s="5"/>
      <c r="P931" s="5"/>
      <c r="Q931" s="5"/>
      <c r="R931" s="5"/>
      <c r="S931" s="5"/>
      <c r="T931" s="46"/>
      <c r="U931" s="1380" t="s">
        <v>591</v>
      </c>
      <c r="V931" s="1381"/>
      <c r="W931" s="1381"/>
      <c r="X931" s="1381"/>
      <c r="Y931" s="1381"/>
      <c r="Z931" s="1382"/>
      <c r="AA931" s="1415"/>
      <c r="AB931" s="1416"/>
      <c r="AC931" s="1416"/>
      <c r="AD931" s="1416"/>
      <c r="AE931" s="1416"/>
      <c r="AF931" s="1417"/>
      <c r="AZ931" s="34"/>
      <c r="BA931" s="34"/>
      <c r="BB931" s="34"/>
      <c r="BC931" s="34"/>
    </row>
    <row r="932" spans="6:55" ht="12.9" customHeight="1">
      <c r="F932" s="66" t="s">
        <v>787</v>
      </c>
      <c r="G932" s="5"/>
      <c r="H932" s="5"/>
      <c r="I932" s="5"/>
      <c r="J932" s="5"/>
      <c r="K932" s="5"/>
      <c r="L932" s="5"/>
      <c r="M932" s="5"/>
      <c r="N932" s="5"/>
      <c r="O932" s="5"/>
      <c r="P932" s="5"/>
      <c r="Q932" s="5"/>
      <c r="R932" s="5"/>
      <c r="S932" s="5"/>
      <c r="T932" s="46"/>
      <c r="U932" s="1380" t="s">
        <v>591</v>
      </c>
      <c r="V932" s="1381"/>
      <c r="W932" s="1381"/>
      <c r="X932" s="1381"/>
      <c r="Y932" s="1381"/>
      <c r="Z932" s="1382"/>
      <c r="AA932" s="1415"/>
      <c r="AB932" s="1416"/>
      <c r="AC932" s="1416"/>
      <c r="AD932" s="1416"/>
      <c r="AE932" s="1416"/>
      <c r="AF932" s="1417"/>
      <c r="AZ932" s="34"/>
      <c r="BA932" s="34"/>
      <c r="BB932" s="34"/>
      <c r="BC932" s="34"/>
    </row>
    <row r="933" spans="6:55" ht="12.9" customHeight="1">
      <c r="F933" s="66" t="s">
        <v>788</v>
      </c>
      <c r="G933" s="5"/>
      <c r="H933" s="5"/>
      <c r="I933" s="5"/>
      <c r="J933" s="5"/>
      <c r="K933" s="5"/>
      <c r="L933" s="5"/>
      <c r="M933" s="5"/>
      <c r="N933" s="5"/>
      <c r="O933" s="5"/>
      <c r="P933" s="5"/>
      <c r="Q933" s="5"/>
      <c r="R933" s="5"/>
      <c r="S933" s="5"/>
      <c r="T933" s="46"/>
      <c r="U933" s="1380" t="s">
        <v>591</v>
      </c>
      <c r="V933" s="1381"/>
      <c r="W933" s="1381"/>
      <c r="X933" s="1381"/>
      <c r="Y933" s="1381"/>
      <c r="Z933" s="1382"/>
      <c r="AA933" s="1415"/>
      <c r="AB933" s="1416"/>
      <c r="AC933" s="1416"/>
      <c r="AD933" s="1416"/>
      <c r="AE933" s="1416"/>
      <c r="AF933" s="1417"/>
      <c r="AZ933" s="34"/>
      <c r="BA933" s="34"/>
      <c r="BB933" s="34"/>
      <c r="BC933" s="34"/>
    </row>
    <row r="934" spans="6:55" ht="12.9" customHeight="1">
      <c r="F934" s="45" t="s">
        <v>677</v>
      </c>
      <c r="G934" s="5"/>
      <c r="H934" s="5"/>
      <c r="I934" s="5"/>
      <c r="J934" s="5"/>
      <c r="K934" s="5"/>
      <c r="L934" s="5"/>
      <c r="M934" s="5"/>
      <c r="N934" s="5"/>
      <c r="O934" s="5"/>
      <c r="P934" s="5"/>
      <c r="Q934" s="5"/>
      <c r="R934" s="5"/>
      <c r="S934" s="5"/>
      <c r="T934" s="46"/>
      <c r="U934" s="1380" t="s">
        <v>591</v>
      </c>
      <c r="V934" s="1381"/>
      <c r="W934" s="1381"/>
      <c r="X934" s="1381"/>
      <c r="Y934" s="1381"/>
      <c r="Z934" s="1382"/>
      <c r="AA934" s="1415"/>
      <c r="AB934" s="1416"/>
      <c r="AC934" s="1416"/>
      <c r="AD934" s="1416"/>
      <c r="AE934" s="1416"/>
      <c r="AF934" s="1417"/>
      <c r="AZ934" s="34"/>
      <c r="BA934" s="34"/>
      <c r="BB934" s="34"/>
      <c r="BC934" s="34"/>
    </row>
    <row r="935" spans="6:55" ht="12.9" customHeight="1">
      <c r="F935" s="1389" t="s">
        <v>2145</v>
      </c>
      <c r="G935" s="1390"/>
      <c r="H935" s="1390"/>
      <c r="I935" s="1390"/>
      <c r="J935" s="1390"/>
      <c r="K935" s="1390"/>
      <c r="L935" s="1390"/>
      <c r="M935" s="1390"/>
      <c r="N935" s="1390"/>
      <c r="O935" s="1390"/>
      <c r="P935" s="1390"/>
      <c r="Q935" s="1390"/>
      <c r="R935" s="1390"/>
      <c r="S935" s="1390"/>
      <c r="T935" s="1391"/>
      <c r="U935" s="1380" t="s">
        <v>591</v>
      </c>
      <c r="V935" s="1381"/>
      <c r="W935" s="1381"/>
      <c r="X935" s="1381"/>
      <c r="Y935" s="1381"/>
      <c r="Z935" s="1382"/>
      <c r="AA935" s="1415"/>
      <c r="AB935" s="1416"/>
      <c r="AC935" s="1416"/>
      <c r="AD935" s="1416"/>
      <c r="AE935" s="1416"/>
      <c r="AF935" s="1417"/>
      <c r="AZ935" s="34"/>
      <c r="BA935" s="34"/>
      <c r="BB935" s="34"/>
      <c r="BC935" s="34"/>
    </row>
    <row r="936" spans="6:55" ht="12.9" customHeight="1">
      <c r="F936" s="1389" t="s">
        <v>679</v>
      </c>
      <c r="G936" s="1390"/>
      <c r="H936" s="1390"/>
      <c r="I936" s="1390"/>
      <c r="J936" s="1390"/>
      <c r="K936" s="1390"/>
      <c r="L936" s="1390"/>
      <c r="M936" s="1390"/>
      <c r="N936" s="1390"/>
      <c r="O936" s="1390"/>
      <c r="P936" s="1390"/>
      <c r="Q936" s="1390"/>
      <c r="R936" s="1390"/>
      <c r="S936" s="1390"/>
      <c r="T936" s="1391"/>
      <c r="U936" s="1380" t="s">
        <v>591</v>
      </c>
      <c r="V936" s="1381"/>
      <c r="W936" s="1381"/>
      <c r="X936" s="1381"/>
      <c r="Y936" s="1381"/>
      <c r="Z936" s="1382"/>
      <c r="AA936" s="1415"/>
      <c r="AB936" s="1416"/>
      <c r="AC936" s="1416"/>
      <c r="AD936" s="1416"/>
      <c r="AE936" s="1416"/>
      <c r="AF936" s="1417"/>
      <c r="AU936" s="2"/>
      <c r="AZ936" s="34"/>
      <c r="BA936" s="34"/>
      <c r="BB936" s="34"/>
      <c r="BC936" s="34"/>
    </row>
    <row r="937" spans="6:55" ht="12.9" customHeight="1">
      <c r="F937" s="1389" t="s">
        <v>2146</v>
      </c>
      <c r="G937" s="1390"/>
      <c r="H937" s="1390"/>
      <c r="I937" s="1390"/>
      <c r="J937" s="1390"/>
      <c r="K937" s="1390"/>
      <c r="L937" s="1390"/>
      <c r="M937" s="1390"/>
      <c r="N937" s="1390"/>
      <c r="O937" s="1390"/>
      <c r="P937" s="1390"/>
      <c r="Q937" s="1390"/>
      <c r="R937" s="1390"/>
      <c r="S937" s="1390"/>
      <c r="T937" s="1391"/>
      <c r="U937" s="1380" t="s">
        <v>591</v>
      </c>
      <c r="V937" s="1381"/>
      <c r="W937" s="1381"/>
      <c r="X937" s="1381"/>
      <c r="Y937" s="1381"/>
      <c r="Z937" s="1382"/>
      <c r="AA937" s="1415"/>
      <c r="AB937" s="1416"/>
      <c r="AC937" s="1416"/>
      <c r="AD937" s="1416"/>
      <c r="AE937" s="1416"/>
      <c r="AF937" s="1417"/>
      <c r="AU937" s="2"/>
      <c r="AZ937" s="34"/>
      <c r="BA937" s="34"/>
      <c r="BB937" s="34"/>
      <c r="BC937" s="34"/>
    </row>
    <row r="938" spans="6:55" ht="12.9" customHeight="1">
      <c r="F938" s="1389" t="s">
        <v>2147</v>
      </c>
      <c r="G938" s="1390"/>
      <c r="H938" s="1390"/>
      <c r="I938" s="1390"/>
      <c r="J938" s="1390"/>
      <c r="K938" s="1390"/>
      <c r="L938" s="1390"/>
      <c r="M938" s="1390"/>
      <c r="N938" s="1390"/>
      <c r="O938" s="1390"/>
      <c r="P938" s="1390"/>
      <c r="Q938" s="1390"/>
      <c r="R938" s="1390"/>
      <c r="S938" s="1390"/>
      <c r="T938" s="1391"/>
      <c r="U938" s="1380" t="s">
        <v>591</v>
      </c>
      <c r="V938" s="1381"/>
      <c r="W938" s="1381"/>
      <c r="X938" s="1381"/>
      <c r="Y938" s="1381"/>
      <c r="Z938" s="1382"/>
      <c r="AA938" s="1415"/>
      <c r="AB938" s="1416"/>
      <c r="AC938" s="1416"/>
      <c r="AD938" s="1416"/>
      <c r="AE938" s="1416"/>
      <c r="AF938" s="1417"/>
      <c r="AU938" s="2"/>
      <c r="AZ938" s="34"/>
      <c r="BA938" s="34"/>
      <c r="BB938" s="34"/>
      <c r="BC938" s="34"/>
    </row>
    <row r="939" spans="6:55" ht="12.9" customHeight="1">
      <c r="F939" s="1389" t="s">
        <v>2148</v>
      </c>
      <c r="G939" s="1390"/>
      <c r="H939" s="1390"/>
      <c r="I939" s="1390"/>
      <c r="J939" s="1390"/>
      <c r="K939" s="1390"/>
      <c r="L939" s="1390"/>
      <c r="M939" s="1390"/>
      <c r="N939" s="1390"/>
      <c r="O939" s="1390"/>
      <c r="P939" s="1390"/>
      <c r="Q939" s="1390"/>
      <c r="R939" s="1390"/>
      <c r="S939" s="1390"/>
      <c r="T939" s="1391"/>
      <c r="U939" s="1380" t="s">
        <v>591</v>
      </c>
      <c r="V939" s="1381"/>
      <c r="W939" s="1381"/>
      <c r="X939" s="1381"/>
      <c r="Y939" s="1381"/>
      <c r="Z939" s="1382"/>
      <c r="AA939" s="1415"/>
      <c r="AB939" s="1416"/>
      <c r="AC939" s="1416"/>
      <c r="AD939" s="1416"/>
      <c r="AE939" s="1416"/>
      <c r="AF939" s="1417"/>
      <c r="AU939" s="2"/>
      <c r="AZ939" s="34"/>
      <c r="BA939" s="34"/>
      <c r="BB939" s="34"/>
      <c r="BC939" s="34"/>
    </row>
    <row r="940" spans="6:55" ht="12.9" customHeight="1">
      <c r="F940" s="1389" t="s">
        <v>2149</v>
      </c>
      <c r="G940" s="1390"/>
      <c r="H940" s="1390"/>
      <c r="I940" s="1390"/>
      <c r="J940" s="1390"/>
      <c r="K940" s="1390"/>
      <c r="L940" s="1390"/>
      <c r="M940" s="1390"/>
      <c r="N940" s="1390"/>
      <c r="O940" s="1390"/>
      <c r="P940" s="1390"/>
      <c r="Q940" s="1390"/>
      <c r="R940" s="1390"/>
      <c r="S940" s="1390"/>
      <c r="T940" s="1391"/>
      <c r="U940" s="1380" t="s">
        <v>591</v>
      </c>
      <c r="V940" s="1381"/>
      <c r="W940" s="1381"/>
      <c r="X940" s="1381"/>
      <c r="Y940" s="1381"/>
      <c r="Z940" s="1382"/>
      <c r="AA940" s="1415"/>
      <c r="AB940" s="1416"/>
      <c r="AC940" s="1416"/>
      <c r="AD940" s="1416"/>
      <c r="AE940" s="1416"/>
      <c r="AF940" s="1417"/>
      <c r="AU940" s="2"/>
      <c r="AZ940" s="34"/>
      <c r="BA940" s="34"/>
      <c r="BB940" s="34"/>
      <c r="BC940" s="34"/>
    </row>
    <row r="941" spans="6:55" ht="12.9" customHeight="1">
      <c r="F941" s="1389" t="s">
        <v>2150</v>
      </c>
      <c r="G941" s="1390"/>
      <c r="H941" s="1390"/>
      <c r="I941" s="1390"/>
      <c r="J941" s="1390"/>
      <c r="K941" s="1390"/>
      <c r="L941" s="1390"/>
      <c r="M941" s="1390"/>
      <c r="N941" s="1390"/>
      <c r="O941" s="1390"/>
      <c r="P941" s="1390"/>
      <c r="Q941" s="1390"/>
      <c r="R941" s="1390"/>
      <c r="S941" s="1390"/>
      <c r="T941" s="1391"/>
      <c r="U941" s="1380" t="s">
        <v>591</v>
      </c>
      <c r="V941" s="1381"/>
      <c r="W941" s="1381"/>
      <c r="X941" s="1381"/>
      <c r="Y941" s="1381"/>
      <c r="Z941" s="1382"/>
      <c r="AA941" s="1415"/>
      <c r="AB941" s="1416"/>
      <c r="AC941" s="1416"/>
      <c r="AD941" s="1416"/>
      <c r="AE941" s="1416"/>
      <c r="AF941" s="1417"/>
      <c r="AZ941" s="30"/>
      <c r="BA941" s="30"/>
    </row>
    <row r="942" spans="6:55" ht="12.9" customHeight="1">
      <c r="F942" s="178" t="s">
        <v>676</v>
      </c>
      <c r="G942" s="5"/>
      <c r="H942" s="5"/>
      <c r="I942" s="5"/>
      <c r="J942" s="5"/>
      <c r="K942" s="5"/>
      <c r="L942" s="5"/>
      <c r="M942" s="5"/>
      <c r="N942" s="5"/>
      <c r="O942" s="5"/>
      <c r="P942" s="5"/>
      <c r="Q942" s="5"/>
      <c r="R942" s="5"/>
      <c r="S942" s="5"/>
      <c r="T942" s="46"/>
      <c r="U942" s="1380" t="s">
        <v>591</v>
      </c>
      <c r="V942" s="1381"/>
      <c r="W942" s="1381"/>
      <c r="X942" s="1381"/>
      <c r="Y942" s="1381"/>
      <c r="Z942" s="1382"/>
      <c r="AA942" s="1415"/>
      <c r="AB942" s="1416"/>
      <c r="AC942" s="1416"/>
      <c r="AD942" s="1416"/>
      <c r="AE942" s="1416"/>
      <c r="AF942" s="1417"/>
    </row>
    <row r="943" spans="6:55" ht="12.9" customHeight="1">
      <c r="F943" s="121" t="s">
        <v>1276</v>
      </c>
      <c r="G943" s="5"/>
      <c r="H943" s="5"/>
      <c r="I943" s="5"/>
      <c r="J943" s="5"/>
      <c r="K943" s="5"/>
      <c r="L943" s="5"/>
      <c r="M943" s="5"/>
      <c r="N943" s="5"/>
      <c r="O943" s="5"/>
      <c r="P943" s="5"/>
      <c r="Q943" s="5"/>
      <c r="R943" s="5"/>
      <c r="S943" s="5"/>
      <c r="T943" s="46"/>
      <c r="U943" s="1380" t="s">
        <v>591</v>
      </c>
      <c r="V943" s="1381"/>
      <c r="W943" s="1381"/>
      <c r="X943" s="1381"/>
      <c r="Y943" s="1381"/>
      <c r="Z943" s="1382"/>
      <c r="AA943" s="1415"/>
      <c r="AB943" s="1416"/>
      <c r="AC943" s="1416"/>
      <c r="AD943" s="1416"/>
      <c r="AE943" s="1416"/>
      <c r="AF943" s="1417"/>
      <c r="AZ943" s="30"/>
      <c r="BA943" s="14"/>
    </row>
    <row r="944" spans="6:55" ht="12.9" customHeight="1">
      <c r="F944" s="66" t="s">
        <v>802</v>
      </c>
      <c r="G944" s="5"/>
      <c r="H944" s="5"/>
      <c r="I944" s="5"/>
      <c r="J944" s="5"/>
      <c r="K944" s="5"/>
      <c r="L944" s="5"/>
      <c r="M944" s="5"/>
      <c r="N944" s="5"/>
      <c r="O944" s="5"/>
      <c r="P944" s="5"/>
      <c r="Q944" s="5"/>
      <c r="R944" s="5"/>
      <c r="S944" s="5"/>
      <c r="T944" s="46"/>
      <c r="U944" s="1380" t="s">
        <v>591</v>
      </c>
      <c r="V944" s="1381"/>
      <c r="W944" s="1381"/>
      <c r="X944" s="1381"/>
      <c r="Y944" s="1381"/>
      <c r="Z944" s="1382"/>
      <c r="AA944" s="1415"/>
      <c r="AB944" s="1416"/>
      <c r="AC944" s="1416"/>
      <c r="AD944" s="1416"/>
      <c r="AE944" s="1416"/>
      <c r="AF944" s="1417"/>
      <c r="AZ944" s="30"/>
      <c r="BA944" s="14"/>
    </row>
    <row r="945" spans="6:55" ht="12.9" customHeight="1">
      <c r="F945" s="1435" t="s">
        <v>2154</v>
      </c>
      <c r="G945" s="1436"/>
      <c r="H945" s="1436"/>
      <c r="I945" s="1436"/>
      <c r="J945" s="1436"/>
      <c r="K945" s="1436"/>
      <c r="L945" s="1436"/>
      <c r="M945" s="1436"/>
      <c r="N945" s="1436"/>
      <c r="O945" s="1436"/>
      <c r="P945" s="1436"/>
      <c r="Q945" s="1436"/>
      <c r="R945" s="1436"/>
      <c r="S945" s="1436"/>
      <c r="T945" s="1437"/>
      <c r="U945" s="1380" t="s">
        <v>591</v>
      </c>
      <c r="V945" s="1381"/>
      <c r="W945" s="1381"/>
      <c r="X945" s="1381"/>
      <c r="Y945" s="1381"/>
      <c r="Z945" s="1382"/>
      <c r="AA945" s="1415"/>
      <c r="AB945" s="1416"/>
      <c r="AC945" s="1416"/>
      <c r="AD945" s="1416"/>
      <c r="AE945" s="1416"/>
      <c r="AF945" s="1417"/>
      <c r="AZ945" s="30"/>
      <c r="BA945" s="14"/>
    </row>
    <row r="946" spans="6:55" ht="12.9" customHeight="1">
      <c r="F946" s="1435" t="s">
        <v>2155</v>
      </c>
      <c r="G946" s="1436"/>
      <c r="H946" s="1436"/>
      <c r="I946" s="1436"/>
      <c r="J946" s="1436"/>
      <c r="K946" s="1436"/>
      <c r="L946" s="1436"/>
      <c r="M946" s="1436"/>
      <c r="N946" s="1436"/>
      <c r="O946" s="1436"/>
      <c r="P946" s="1436"/>
      <c r="Q946" s="1436"/>
      <c r="R946" s="1436"/>
      <c r="S946" s="1436"/>
      <c r="T946" s="1437"/>
      <c r="U946" s="1380" t="s">
        <v>591</v>
      </c>
      <c r="V946" s="1381"/>
      <c r="W946" s="1381"/>
      <c r="X946" s="1381"/>
      <c r="Y946" s="1381"/>
      <c r="Z946" s="1382"/>
      <c r="AA946" s="1415"/>
      <c r="AB946" s="1416"/>
      <c r="AC946" s="1416"/>
      <c r="AD946" s="1416"/>
      <c r="AE946" s="1416"/>
      <c r="AF946" s="1417"/>
      <c r="AZ946" s="30"/>
      <c r="BA946" s="30"/>
    </row>
    <row r="947" spans="6:55" ht="12.9" customHeight="1">
      <c r="F947" s="1389" t="s">
        <v>2151</v>
      </c>
      <c r="G947" s="1390"/>
      <c r="H947" s="1390"/>
      <c r="I947" s="1390"/>
      <c r="J947" s="1390"/>
      <c r="K947" s="1390"/>
      <c r="L947" s="1390"/>
      <c r="M947" s="1390"/>
      <c r="N947" s="1390"/>
      <c r="O947" s="1390"/>
      <c r="P947" s="1390"/>
      <c r="Q947" s="1390"/>
      <c r="R947" s="1390"/>
      <c r="S947" s="1390"/>
      <c r="T947" s="1391"/>
      <c r="U947" s="1380" t="s">
        <v>591</v>
      </c>
      <c r="V947" s="1381"/>
      <c r="W947" s="1381"/>
      <c r="X947" s="1381"/>
      <c r="Y947" s="1381"/>
      <c r="Z947" s="1382"/>
      <c r="AA947" s="1415"/>
      <c r="AB947" s="1416"/>
      <c r="AC947" s="1416"/>
      <c r="AD947" s="1416"/>
      <c r="AE947" s="1416"/>
      <c r="AF947" s="1417"/>
      <c r="AZ947" s="30"/>
      <c r="BA947" s="30"/>
    </row>
    <row r="948" spans="6:55" ht="12.9" customHeight="1">
      <c r="F948" s="1389" t="s">
        <v>2152</v>
      </c>
      <c r="G948" s="1390"/>
      <c r="H948" s="1390"/>
      <c r="I948" s="1390"/>
      <c r="J948" s="1390"/>
      <c r="K948" s="1390"/>
      <c r="L948" s="1390"/>
      <c r="M948" s="1390"/>
      <c r="N948" s="1390"/>
      <c r="O948" s="1390"/>
      <c r="P948" s="1390"/>
      <c r="Q948" s="1390"/>
      <c r="R948" s="1390"/>
      <c r="S948" s="1390"/>
      <c r="T948" s="1391"/>
      <c r="U948" s="1380" t="s">
        <v>591</v>
      </c>
      <c r="V948" s="1381"/>
      <c r="W948" s="1381"/>
      <c r="X948" s="1381"/>
      <c r="Y948" s="1381"/>
      <c r="Z948" s="1382"/>
      <c r="AA948" s="1415"/>
      <c r="AB948" s="1416"/>
      <c r="AC948" s="1416"/>
      <c r="AD948" s="1416"/>
      <c r="AE948" s="1416"/>
      <c r="AF948" s="1417"/>
      <c r="AZ948" s="30"/>
      <c r="BA948" s="30"/>
    </row>
    <row r="949" spans="6:55" ht="12.9" customHeight="1">
      <c r="F949" s="1389" t="s">
        <v>2153</v>
      </c>
      <c r="G949" s="1390"/>
      <c r="H949" s="1390"/>
      <c r="I949" s="1390"/>
      <c r="J949" s="1390"/>
      <c r="K949" s="1390"/>
      <c r="L949" s="1390"/>
      <c r="M949" s="1390"/>
      <c r="N949" s="1390"/>
      <c r="O949" s="1390"/>
      <c r="P949" s="1390"/>
      <c r="Q949" s="1390"/>
      <c r="R949" s="1390"/>
      <c r="S949" s="1390"/>
      <c r="T949" s="1391"/>
      <c r="U949" s="1380" t="s">
        <v>591</v>
      </c>
      <c r="V949" s="1381"/>
      <c r="W949" s="1381"/>
      <c r="X949" s="1381"/>
      <c r="Y949" s="1381"/>
      <c r="Z949" s="1382"/>
      <c r="AA949" s="1415"/>
      <c r="AB949" s="1416"/>
      <c r="AC949" s="1416"/>
      <c r="AD949" s="1416"/>
      <c r="AE949" s="1416"/>
      <c r="AF949" s="1417"/>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380" t="s">
        <v>591</v>
      </c>
      <c r="V950" s="1381"/>
      <c r="W950" s="1381"/>
      <c r="X950" s="1381"/>
      <c r="Y950" s="1381"/>
      <c r="Z950" s="1382"/>
      <c r="AA950" s="1415"/>
      <c r="AB950" s="1416"/>
      <c r="AC950" s="1416"/>
      <c r="AD950" s="1416"/>
      <c r="AE950" s="1416"/>
      <c r="AF950" s="1417"/>
      <c r="AZ950" s="34"/>
      <c r="BA950" s="34"/>
      <c r="BB950" s="14"/>
      <c r="BC950" s="14"/>
    </row>
    <row r="951" spans="6:55" ht="12.9" customHeight="1">
      <c r="F951" s="1435" t="s">
        <v>2156</v>
      </c>
      <c r="G951" s="1436"/>
      <c r="H951" s="1436"/>
      <c r="I951" s="1436"/>
      <c r="J951" s="1436"/>
      <c r="K951" s="1436"/>
      <c r="L951" s="1436"/>
      <c r="M951" s="1436"/>
      <c r="N951" s="1436"/>
      <c r="O951" s="1436"/>
      <c r="P951" s="1436"/>
      <c r="Q951" s="1436"/>
      <c r="R951" s="1436"/>
      <c r="S951" s="1436"/>
      <c r="T951" s="1437"/>
      <c r="U951" s="1380" t="s">
        <v>591</v>
      </c>
      <c r="V951" s="1381"/>
      <c r="W951" s="1381"/>
      <c r="X951" s="1381"/>
      <c r="Y951" s="1381"/>
      <c r="Z951" s="1382"/>
      <c r="AA951" s="1415"/>
      <c r="AB951" s="1416"/>
      <c r="AC951" s="1416"/>
      <c r="AD951" s="1416"/>
      <c r="AE951" s="1416"/>
      <c r="AF951" s="1417"/>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380" t="s">
        <v>591</v>
      </c>
      <c r="V952" s="1381"/>
      <c r="W952" s="1381"/>
      <c r="X952" s="1381"/>
      <c r="Y952" s="1381"/>
      <c r="Z952" s="1382"/>
      <c r="AA952" s="1415"/>
      <c r="AB952" s="1416"/>
      <c r="AC952" s="1416"/>
      <c r="AD952" s="1416"/>
      <c r="AE952" s="1416"/>
      <c r="AF952" s="1417"/>
      <c r="AZ952" s="34"/>
      <c r="BA952" s="34"/>
      <c r="BB952" s="34"/>
      <c r="BC952" s="34"/>
    </row>
    <row r="953" spans="6:55" ht="12.9" customHeight="1">
      <c r="F953" s="1435" t="s">
        <v>2157</v>
      </c>
      <c r="G953" s="1436"/>
      <c r="H953" s="1436"/>
      <c r="I953" s="1436"/>
      <c r="J953" s="1436"/>
      <c r="K953" s="1436"/>
      <c r="L953" s="1436"/>
      <c r="M953" s="1436"/>
      <c r="N953" s="1436"/>
      <c r="O953" s="1436"/>
      <c r="P953" s="1436"/>
      <c r="Q953" s="1436"/>
      <c r="R953" s="1436"/>
      <c r="S953" s="1436"/>
      <c r="T953" s="1437"/>
      <c r="U953" s="1380" t="s">
        <v>591</v>
      </c>
      <c r="V953" s="1381"/>
      <c r="W953" s="1381"/>
      <c r="X953" s="1381"/>
      <c r="Y953" s="1381"/>
      <c r="Z953" s="1382"/>
      <c r="AA953" s="1415"/>
      <c r="AB953" s="1416"/>
      <c r="AC953" s="1416"/>
      <c r="AD953" s="1416"/>
      <c r="AE953" s="1416"/>
      <c r="AF953" s="1417"/>
      <c r="AZ953" s="34"/>
      <c r="BA953" s="34"/>
      <c r="BB953" s="34"/>
      <c r="BC953" s="34"/>
    </row>
    <row r="954" spans="6:55" ht="12.9" customHeight="1">
      <c r="F954" s="45" t="s">
        <v>806</v>
      </c>
      <c r="G954" s="5"/>
      <c r="H954" s="5"/>
      <c r="I954" s="5"/>
      <c r="J954" s="5"/>
      <c r="K954" s="5"/>
      <c r="L954" s="5"/>
      <c r="M954" s="5"/>
      <c r="N954" s="5"/>
      <c r="O954" s="5"/>
      <c r="P954" s="1380" t="s">
        <v>669</v>
      </c>
      <c r="Q954" s="1381"/>
      <c r="R954" s="1381"/>
      <c r="S954" s="1381"/>
      <c r="T954" s="1382"/>
      <c r="U954" s="1380" t="s">
        <v>591</v>
      </c>
      <c r="V954" s="1381"/>
      <c r="W954" s="1381"/>
      <c r="X954" s="1381"/>
      <c r="Y954" s="1381"/>
      <c r="Z954" s="1382"/>
      <c r="AA954" s="1415"/>
      <c r="AB954" s="1416"/>
      <c r="AC954" s="1416"/>
      <c r="AD954" s="1416"/>
      <c r="AE954" s="1416"/>
      <c r="AF954" s="1417"/>
      <c r="AZ954" s="34"/>
      <c r="BA954" s="34"/>
      <c r="BB954" s="34"/>
      <c r="BC954" s="34"/>
    </row>
    <row r="955" spans="6:55" ht="12.9" customHeight="1">
      <c r="F955" s="1389" t="s">
        <v>2144</v>
      </c>
      <c r="G955" s="1390"/>
      <c r="H955" s="1391"/>
      <c r="I955" s="1447" t="s">
        <v>334</v>
      </c>
      <c r="J955" s="1448"/>
      <c r="K955" s="1448"/>
      <c r="L955" s="1448"/>
      <c r="M955" s="1448"/>
      <c r="N955" s="1448"/>
      <c r="O955" s="1448"/>
      <c r="P955" s="1448"/>
      <c r="Q955" s="1448"/>
      <c r="R955" s="1448"/>
      <c r="S955" s="1448"/>
      <c r="T955" s="1449"/>
      <c r="U955" s="1380" t="s">
        <v>591</v>
      </c>
      <c r="V955" s="1381"/>
      <c r="W955" s="1381"/>
      <c r="X955" s="1381"/>
      <c r="Y955" s="1381"/>
      <c r="Z955" s="1382"/>
      <c r="AA955" s="1415"/>
      <c r="AB955" s="1416"/>
      <c r="AC955" s="1416"/>
      <c r="AD955" s="1416"/>
      <c r="AE955" s="1416"/>
      <c r="AF955" s="1417"/>
      <c r="AZ955" s="34"/>
      <c r="BA955" s="34"/>
      <c r="BB955" s="34"/>
      <c r="BC955" s="34"/>
    </row>
    <row r="956" spans="6:55" ht="12.9" customHeight="1">
      <c r="F956" s="45" t="s">
        <v>86</v>
      </c>
      <c r="G956" s="48"/>
      <c r="H956" s="48"/>
      <c r="I956" s="1447" t="s">
        <v>334</v>
      </c>
      <c r="J956" s="1448"/>
      <c r="K956" s="1448"/>
      <c r="L956" s="1448"/>
      <c r="M956" s="1448"/>
      <c r="N956" s="1448"/>
      <c r="O956" s="1448"/>
      <c r="P956" s="1448"/>
      <c r="Q956" s="1448"/>
      <c r="R956" s="1448"/>
      <c r="S956" s="1448"/>
      <c r="T956" s="1449"/>
      <c r="U956" s="1380" t="s">
        <v>591</v>
      </c>
      <c r="V956" s="1381"/>
      <c r="W956" s="1381"/>
      <c r="X956" s="1381"/>
      <c r="Y956" s="1381"/>
      <c r="Z956" s="1382"/>
      <c r="AA956" s="1415"/>
      <c r="AB956" s="1416"/>
      <c r="AC956" s="1416"/>
      <c r="AD956" s="1416"/>
      <c r="AE956" s="1416"/>
      <c r="AF956" s="1417"/>
      <c r="AZ956" s="34"/>
      <c r="BA956" s="34"/>
      <c r="BB956" s="34"/>
      <c r="BC956" s="34"/>
    </row>
    <row r="957" spans="6:55" ht="12.9" customHeight="1">
      <c r="F957" s="45" t="s">
        <v>10</v>
      </c>
      <c r="G957" s="48"/>
      <c r="H957" s="48"/>
      <c r="I957" s="1673" t="s">
        <v>334</v>
      </c>
      <c r="J957" s="1614"/>
      <c r="K957" s="1614"/>
      <c r="L957" s="1614"/>
      <c r="M957" s="1614"/>
      <c r="N957" s="1614"/>
      <c r="O957" s="1614"/>
      <c r="P957" s="1614"/>
      <c r="Q957" s="1614"/>
      <c r="R957" s="1614"/>
      <c r="S957" s="1614"/>
      <c r="T957" s="1615"/>
      <c r="U957" s="1380" t="s">
        <v>591</v>
      </c>
      <c r="V957" s="1381"/>
      <c r="W957" s="1381"/>
      <c r="X957" s="1381"/>
      <c r="Y957" s="1381"/>
      <c r="Z957" s="1382"/>
      <c r="AA957" s="1415"/>
      <c r="AB957" s="1416"/>
      <c r="AC957" s="1416"/>
      <c r="AD957" s="1416"/>
      <c r="AE957" s="1416"/>
      <c r="AF957" s="1417"/>
      <c r="AV957" s="2"/>
      <c r="AW957" s="2"/>
      <c r="AX957" s="2"/>
      <c r="AY957" s="2"/>
      <c r="AZ957" s="34"/>
      <c r="BA957" s="34"/>
      <c r="BB957" s="34"/>
      <c r="BC957" s="34"/>
    </row>
    <row r="958" spans="6:55" ht="12.9" customHeight="1">
      <c r="F958" s="47" t="s">
        <v>170</v>
      </c>
      <c r="G958" s="48"/>
      <c r="H958" s="48"/>
      <c r="I958" s="1447" t="s">
        <v>2741</v>
      </c>
      <c r="J958" s="1614"/>
      <c r="K958" s="1614"/>
      <c r="L958" s="1614"/>
      <c r="M958" s="1614"/>
      <c r="N958" s="1614"/>
      <c r="O958" s="1614"/>
      <c r="P958" s="1614"/>
      <c r="Q958" s="1614"/>
      <c r="R958" s="1614"/>
      <c r="S958" s="1614"/>
      <c r="T958" s="1615"/>
      <c r="U958" s="1380" t="s">
        <v>545</v>
      </c>
      <c r="V958" s="1381"/>
      <c r="W958" s="1381"/>
      <c r="X958" s="1381"/>
      <c r="Y958" s="1381"/>
      <c r="Z958" s="1382"/>
      <c r="AA958" s="1415">
        <f>+AO636</f>
        <v>8010000</v>
      </c>
      <c r="AB958" s="1416"/>
      <c r="AC958" s="1416"/>
      <c r="AD958" s="1416"/>
      <c r="AE958" s="1416"/>
      <c r="AF958" s="1417"/>
      <c r="AU958" s="2"/>
      <c r="AZ958" s="34"/>
      <c r="BA958" s="34"/>
      <c r="BB958" s="34"/>
      <c r="BC958" s="34"/>
    </row>
    <row r="959" spans="6:55" ht="12.9" customHeight="1">
      <c r="F959" s="47" t="s">
        <v>170</v>
      </c>
      <c r="G959" s="48"/>
      <c r="H959" s="48"/>
      <c r="I959" s="1447" t="s">
        <v>2742</v>
      </c>
      <c r="J959" s="1614"/>
      <c r="K959" s="1614"/>
      <c r="L959" s="1614"/>
      <c r="M959" s="1614"/>
      <c r="N959" s="1614"/>
      <c r="O959" s="1614"/>
      <c r="P959" s="1614"/>
      <c r="Q959" s="1614"/>
      <c r="R959" s="1614"/>
      <c r="S959" s="1614"/>
      <c r="T959" s="1615"/>
      <c r="U959" s="1380" t="s">
        <v>545</v>
      </c>
      <c r="V959" s="1381"/>
      <c r="W959" s="1381"/>
      <c r="X959" s="1381"/>
      <c r="Y959" s="1381"/>
      <c r="Z959" s="1382"/>
      <c r="AA959" s="1415">
        <f>+AO637</f>
        <v>8370000</v>
      </c>
      <c r="AB959" s="1416"/>
      <c r="AC959" s="1416"/>
      <c r="AD959" s="1416"/>
      <c r="AE959" s="1416"/>
      <c r="AF959" s="1417"/>
      <c r="AU959" s="2"/>
      <c r="AZ959" s="34"/>
      <c r="BA959" s="34"/>
      <c r="BB959" s="34"/>
      <c r="BC959" s="34"/>
    </row>
    <row r="960" spans="6:55" ht="12.9" customHeight="1">
      <c r="AU960" s="2"/>
      <c r="AZ960" s="34"/>
      <c r="BA960" s="34"/>
      <c r="BB960" s="34"/>
      <c r="BC960" s="34"/>
    </row>
    <row r="961" spans="1:64" ht="12.9" customHeight="1">
      <c r="A961" s="2" t="s">
        <v>576</v>
      </c>
      <c r="C961" s="2" t="s">
        <v>751</v>
      </c>
      <c r="AZ961" s="34"/>
      <c r="BA961" s="34"/>
      <c r="BB961" s="34"/>
      <c r="BC961" s="34"/>
    </row>
    <row r="962" spans="1:64" ht="12.9"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438">
        <v>46112</v>
      </c>
      <c r="N964" s="1439"/>
      <c r="O964" s="1439"/>
      <c r="P964" s="1439"/>
      <c r="Q964" s="1439"/>
      <c r="R964" s="1439"/>
      <c r="S964" s="1440"/>
      <c r="U964" s="66" t="s">
        <v>11</v>
      </c>
      <c r="V964" s="5"/>
      <c r="W964" s="5"/>
      <c r="X964" s="5"/>
      <c r="Y964" s="5"/>
      <c r="Z964" s="5"/>
      <c r="AA964" s="5"/>
      <c r="AB964" s="5"/>
      <c r="AC964" s="5"/>
      <c r="AD964" s="46"/>
      <c r="AE964" s="1438"/>
      <c r="AF964" s="1439"/>
      <c r="AG964" s="1439"/>
      <c r="AH964" s="1439"/>
      <c r="AI964" s="1439"/>
      <c r="AJ964" s="1439"/>
      <c r="AK964" s="1440"/>
      <c r="AZ964" s="34"/>
      <c r="BA964" s="34"/>
      <c r="BB964" s="34"/>
      <c r="BC964" s="34"/>
    </row>
    <row r="965" spans="1:64" ht="12.9" customHeight="1">
      <c r="C965" s="66" t="s">
        <v>12</v>
      </c>
      <c r="D965" s="5"/>
      <c r="E965" s="5"/>
      <c r="F965" s="5"/>
      <c r="G965" s="5"/>
      <c r="H965" s="5"/>
      <c r="I965" s="5"/>
      <c r="J965" s="5"/>
      <c r="K965" s="5"/>
      <c r="L965" s="46"/>
      <c r="M965" s="1441" t="s">
        <v>2718</v>
      </c>
      <c r="N965" s="1442"/>
      <c r="O965" s="1442"/>
      <c r="P965" s="1442"/>
      <c r="Q965" s="1442"/>
      <c r="R965" s="1442"/>
      <c r="S965" s="1443"/>
      <c r="U965" s="66" t="s">
        <v>12</v>
      </c>
      <c r="V965" s="5"/>
      <c r="W965" s="5"/>
      <c r="X965" s="5"/>
      <c r="Y965" s="5"/>
      <c r="Z965" s="5"/>
      <c r="AA965" s="5"/>
      <c r="AB965" s="5"/>
      <c r="AC965" s="5"/>
      <c r="AD965" s="46"/>
      <c r="AE965" s="1441"/>
      <c r="AF965" s="1442"/>
      <c r="AG965" s="1442"/>
      <c r="AH965" s="1442"/>
      <c r="AI965" s="1442"/>
      <c r="AJ965" s="1442"/>
      <c r="AK965" s="1443"/>
      <c r="AZ965" s="34"/>
      <c r="BA965" s="34"/>
      <c r="BB965" s="34"/>
      <c r="BC965" s="34"/>
    </row>
    <row r="966" spans="1:64" ht="12.9" customHeight="1">
      <c r="C966" s="66" t="s">
        <v>880</v>
      </c>
      <c r="D966" s="5"/>
      <c r="E966" s="5"/>
      <c r="J966" s="1444" t="s">
        <v>2719</v>
      </c>
      <c r="K966" s="1445"/>
      <c r="L966" s="1445"/>
      <c r="M966" s="1445"/>
      <c r="N966" s="1445"/>
      <c r="O966" s="1445"/>
      <c r="P966" s="1445"/>
      <c r="Q966" s="1445"/>
      <c r="R966" s="1445"/>
      <c r="S966" s="1446"/>
      <c r="U966" s="66" t="s">
        <v>880</v>
      </c>
      <c r="V966" s="5"/>
      <c r="W966" s="5"/>
      <c r="AB966" s="1444"/>
      <c r="AC966" s="1445"/>
      <c r="AD966" s="1445"/>
      <c r="AE966" s="1445"/>
      <c r="AF966" s="1445"/>
      <c r="AG966" s="1445"/>
      <c r="AH966" s="1445"/>
      <c r="AI966" s="1445"/>
      <c r="AJ966" s="1445"/>
      <c r="AK966" s="1446"/>
      <c r="AZ966" s="34"/>
      <c r="BA966" s="34"/>
      <c r="BB966" s="34"/>
      <c r="BC966" s="34"/>
    </row>
    <row r="967" spans="1:64" ht="12.9" customHeight="1">
      <c r="C967" s="66" t="s">
        <v>13</v>
      </c>
      <c r="D967" s="5"/>
      <c r="E967" s="5"/>
      <c r="F967" s="5"/>
      <c r="G967" s="5"/>
      <c r="H967" s="5"/>
      <c r="I967" s="5"/>
      <c r="J967" s="5"/>
      <c r="K967" s="5"/>
      <c r="L967" s="46"/>
      <c r="M967" s="1683">
        <v>1</v>
      </c>
      <c r="N967" s="1643"/>
      <c r="O967" s="1643"/>
      <c r="P967" s="1643"/>
      <c r="Q967" s="1643"/>
      <c r="R967" s="1643"/>
      <c r="S967" s="1644"/>
      <c r="U967" s="66" t="s">
        <v>13</v>
      </c>
      <c r="V967" s="5"/>
      <c r="W967" s="5"/>
      <c r="X967" s="5"/>
      <c r="Y967" s="5"/>
      <c r="Z967" s="5"/>
      <c r="AA967" s="5"/>
      <c r="AB967" s="5"/>
      <c r="AC967" s="5"/>
      <c r="AD967" s="46"/>
      <c r="AE967" s="1642"/>
      <c r="AF967" s="1643"/>
      <c r="AG967" s="1643"/>
      <c r="AH967" s="1643"/>
      <c r="AI967" s="1643"/>
      <c r="AJ967" s="1643"/>
      <c r="AK967" s="1644"/>
      <c r="AZ967" s="34"/>
      <c r="BA967" s="34"/>
      <c r="BB967" s="34"/>
      <c r="BC967" s="34"/>
    </row>
    <row r="968" spans="1:64" ht="12.9" customHeight="1">
      <c r="C968" s="66" t="s">
        <v>14</v>
      </c>
      <c r="D968" s="5"/>
      <c r="E968" s="5"/>
      <c r="F968" s="5"/>
      <c r="G968" s="5"/>
      <c r="H968" s="5"/>
      <c r="I968" s="5"/>
      <c r="J968" s="5"/>
      <c r="K968" s="5"/>
      <c r="L968" s="46"/>
      <c r="M968" s="1670">
        <v>93</v>
      </c>
      <c r="N968" s="1671"/>
      <c r="O968" s="1671"/>
      <c r="P968" s="1671"/>
      <c r="Q968" s="1671"/>
      <c r="R968" s="1671"/>
      <c r="S968" s="1672"/>
      <c r="U968" s="66" t="s">
        <v>14</v>
      </c>
      <c r="V968" s="5"/>
      <c r="W968" s="5"/>
      <c r="X968" s="5"/>
      <c r="Y968" s="5"/>
      <c r="Z968" s="5"/>
      <c r="AA968" s="5"/>
      <c r="AB968" s="5"/>
      <c r="AC968" s="5"/>
      <c r="AD968" s="46"/>
      <c r="AE968" s="1670"/>
      <c r="AF968" s="1671"/>
      <c r="AG968" s="1671"/>
      <c r="AH968" s="1671"/>
      <c r="AI968" s="1671"/>
      <c r="AJ968" s="1671"/>
      <c r="AK968" s="1672"/>
      <c r="AV968" s="2"/>
      <c r="AW968" s="2"/>
      <c r="AX968" s="2"/>
      <c r="AY968" s="2"/>
      <c r="AZ968" s="34"/>
      <c r="BA968" s="34"/>
      <c r="BB968" s="34"/>
      <c r="BC968" s="34"/>
    </row>
    <row r="969" spans="1:64" ht="12.9" customHeight="1">
      <c r="C969" s="66" t="s">
        <v>15</v>
      </c>
      <c r="D969" s="5"/>
      <c r="E969" s="5"/>
      <c r="F969" s="5"/>
      <c r="G969" s="5"/>
      <c r="H969" s="5"/>
      <c r="I969" s="5"/>
      <c r="J969" s="5"/>
      <c r="K969" s="5"/>
      <c r="L969" s="46"/>
      <c r="M969" s="1415">
        <f>+'Subsidy Contract Calculation'!G40</f>
        <v>2247384</v>
      </c>
      <c r="N969" s="1416"/>
      <c r="O969" s="1416"/>
      <c r="P969" s="1416"/>
      <c r="Q969" s="1416"/>
      <c r="R969" s="1416"/>
      <c r="S969" s="1417"/>
      <c r="U969" s="66" t="s">
        <v>15</v>
      </c>
      <c r="V969" s="5"/>
      <c r="W969" s="5"/>
      <c r="X969" s="5"/>
      <c r="Y969" s="5"/>
      <c r="Z969" s="5"/>
      <c r="AA969" s="5"/>
      <c r="AB969" s="5"/>
      <c r="AC969" s="5"/>
      <c r="AD969" s="46"/>
      <c r="AE969" s="1415"/>
      <c r="AF969" s="1416"/>
      <c r="AG969" s="1416"/>
      <c r="AH969" s="1416"/>
      <c r="AI969" s="1416"/>
      <c r="AJ969" s="1416"/>
      <c r="AK969" s="1417"/>
      <c r="AV969" s="2"/>
      <c r="AW969" s="2"/>
      <c r="AX969" s="2"/>
      <c r="AY969" s="2"/>
      <c r="AZ969" s="34"/>
      <c r="BA969" s="34"/>
      <c r="BB969" s="34"/>
      <c r="BC969" s="34"/>
    </row>
    <row r="970" spans="1:64" ht="12.9" customHeight="1">
      <c r="C970" s="66" t="s">
        <v>16</v>
      </c>
      <c r="D970" s="5"/>
      <c r="E970" s="5"/>
      <c r="F970" s="5"/>
      <c r="G970" s="5"/>
      <c r="H970" s="5"/>
      <c r="I970" s="5"/>
      <c r="J970" s="5"/>
      <c r="K970" s="5"/>
      <c r="L970" s="46"/>
      <c r="M970" s="1415">
        <f>+M969*M971</f>
        <v>44947680</v>
      </c>
      <c r="N970" s="1416"/>
      <c r="O970" s="1416"/>
      <c r="P970" s="1416"/>
      <c r="Q970" s="1416"/>
      <c r="R970" s="1416"/>
      <c r="S970" s="1417"/>
      <c r="U970" s="66" t="s">
        <v>16</v>
      </c>
      <c r="V970" s="5"/>
      <c r="W970" s="5"/>
      <c r="X970" s="5"/>
      <c r="Y970" s="5"/>
      <c r="Z970" s="5"/>
      <c r="AA970" s="5"/>
      <c r="AB970" s="5"/>
      <c r="AC970" s="5"/>
      <c r="AD970" s="46"/>
      <c r="AE970" s="1415"/>
      <c r="AF970" s="1416"/>
      <c r="AG970" s="1416"/>
      <c r="AH970" s="1416"/>
      <c r="AI970" s="1416"/>
      <c r="AJ970" s="1416"/>
      <c r="AK970" s="1417"/>
      <c r="AV970" s="2"/>
      <c r="AW970" s="2"/>
      <c r="AX970" s="2"/>
      <c r="AY970" s="2"/>
      <c r="AZ970" s="34"/>
      <c r="BB970" s="34"/>
      <c r="BC970" s="34"/>
    </row>
    <row r="971" spans="1:64" ht="12.9" customHeight="1">
      <c r="C971" s="121" t="s">
        <v>1649</v>
      </c>
      <c r="D971" s="5"/>
      <c r="E971" s="5"/>
      <c r="F971" s="5"/>
      <c r="G971" s="5"/>
      <c r="H971" s="5"/>
      <c r="I971" s="5"/>
      <c r="J971" s="5"/>
      <c r="K971" s="5"/>
      <c r="L971" s="46"/>
      <c r="M971" s="1412">
        <v>20</v>
      </c>
      <c r="N971" s="1413"/>
      <c r="O971" s="1413"/>
      <c r="P971" s="1413"/>
      <c r="Q971" s="1413"/>
      <c r="R971" s="1413"/>
      <c r="S971" s="1414"/>
      <c r="U971" s="121" t="s">
        <v>1649</v>
      </c>
      <c r="V971" s="5"/>
      <c r="W971" s="5"/>
      <c r="X971" s="5"/>
      <c r="Y971" s="5"/>
      <c r="Z971" s="5"/>
      <c r="AA971" s="5"/>
      <c r="AB971" s="5"/>
      <c r="AC971" s="5"/>
      <c r="AD971" s="46"/>
      <c r="AE971" s="1412"/>
      <c r="AF971" s="1413"/>
      <c r="AG971" s="1413"/>
      <c r="AH971" s="1413"/>
      <c r="AI971" s="1413"/>
      <c r="AJ971" s="1413"/>
      <c r="AK971" s="1414"/>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571</v>
      </c>
      <c r="G976" s="5"/>
      <c r="H976" s="5"/>
      <c r="I976" s="5"/>
      <c r="J976" s="5"/>
      <c r="K976" s="5"/>
      <c r="L976" s="46"/>
      <c r="M976" s="1383" t="s">
        <v>591</v>
      </c>
      <c r="N976" s="1384"/>
      <c r="O976" s="1384"/>
      <c r="P976" s="1384"/>
      <c r="Q976" s="1384"/>
      <c r="R976" s="1384"/>
      <c r="S976" s="1385"/>
      <c r="T976" s="66" t="s">
        <v>790</v>
      </c>
      <c r="U976" s="5"/>
      <c r="V976" s="5"/>
      <c r="W976" s="5"/>
      <c r="X976" s="5"/>
      <c r="Y976" s="5"/>
      <c r="Z976" s="46"/>
      <c r="AA976" s="1383" t="s">
        <v>591</v>
      </c>
      <c r="AB976" s="1384"/>
      <c r="AC976" s="1384"/>
      <c r="AD976" s="1384"/>
      <c r="AE976" s="1384"/>
      <c r="AF976" s="1384"/>
      <c r="AG976" s="138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572</v>
      </c>
      <c r="G977" s="5"/>
      <c r="H977" s="5"/>
      <c r="I977" s="5"/>
      <c r="J977" s="5"/>
      <c r="K977" s="5"/>
      <c r="L977" s="46"/>
      <c r="M977" s="1383" t="s">
        <v>591</v>
      </c>
      <c r="N977" s="1384"/>
      <c r="O977" s="1384"/>
      <c r="P977" s="1384"/>
      <c r="Q977" s="1384"/>
      <c r="R977" s="1384"/>
      <c r="S977" s="1385"/>
      <c r="T977" s="66" t="s">
        <v>789</v>
      </c>
      <c r="U977" s="5"/>
      <c r="V977" s="5"/>
      <c r="W977" s="5"/>
      <c r="X977" s="5"/>
      <c r="Y977" s="5"/>
      <c r="Z977" s="46"/>
      <c r="AA977" s="1383" t="s">
        <v>591</v>
      </c>
      <c r="AB977" s="1384"/>
      <c r="AC977" s="1384"/>
      <c r="AD977" s="1384"/>
      <c r="AE977" s="1384"/>
      <c r="AF977" s="1384"/>
      <c r="AG977" s="138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901</v>
      </c>
      <c r="G978" s="5"/>
      <c r="H978" s="5"/>
      <c r="I978" s="5"/>
      <c r="J978" s="5"/>
      <c r="K978" s="5"/>
      <c r="L978" s="46"/>
      <c r="M978" s="1663" t="s">
        <v>591</v>
      </c>
      <c r="N978" s="1664"/>
      <c r="O978" s="1664"/>
      <c r="P978" s="1664"/>
      <c r="Q978" s="1664"/>
      <c r="R978" s="1664"/>
      <c r="S978" s="1665"/>
      <c r="T978" s="45" t="s">
        <v>337</v>
      </c>
      <c r="U978" s="5"/>
      <c r="V978" s="5"/>
      <c r="W978" s="5"/>
      <c r="X978" s="5"/>
      <c r="Y978" s="5"/>
      <c r="Z978" s="46"/>
      <c r="AA978" s="1383" t="s">
        <v>591</v>
      </c>
      <c r="AB978" s="1384"/>
      <c r="AC978" s="1384"/>
      <c r="AD978" s="1384"/>
      <c r="AE978" s="1384"/>
      <c r="AF978" s="1384"/>
      <c r="AG978" s="138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573</v>
      </c>
      <c r="G979" s="5"/>
      <c r="H979" s="5"/>
      <c r="I979" s="5"/>
      <c r="J979" s="5"/>
      <c r="K979" s="5"/>
      <c r="L979" s="46"/>
      <c r="M979" s="1383" t="s">
        <v>591</v>
      </c>
      <c r="N979" s="1384"/>
      <c r="O979" s="1384"/>
      <c r="P979" s="1384"/>
      <c r="Q979" s="1384"/>
      <c r="R979" s="1384"/>
      <c r="S979" s="1385"/>
      <c r="T979" s="45" t="s">
        <v>338</v>
      </c>
      <c r="U979" s="5"/>
      <c r="V979" s="5"/>
      <c r="W979" s="5"/>
      <c r="X979" s="5"/>
      <c r="Y979" s="5"/>
      <c r="Z979" s="46"/>
      <c r="AA979" s="1383" t="s">
        <v>591</v>
      </c>
      <c r="AB979" s="1384"/>
      <c r="AC979" s="1384"/>
      <c r="AD979" s="1384"/>
      <c r="AE979" s="1384"/>
      <c r="AF979" s="1384"/>
      <c r="AG979" s="138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464</v>
      </c>
      <c r="G980" s="5"/>
      <c r="H980" s="5"/>
      <c r="I980" s="5"/>
      <c r="J980" s="5"/>
      <c r="K980" s="5"/>
      <c r="L980" s="46"/>
      <c r="M980" s="1383" t="s">
        <v>591</v>
      </c>
      <c r="N980" s="1384"/>
      <c r="O980" s="1384"/>
      <c r="P980" s="1384"/>
      <c r="Q980" s="1384"/>
      <c r="R980" s="1384"/>
      <c r="S980" s="1385"/>
      <c r="T980" s="45" t="s">
        <v>376</v>
      </c>
      <c r="U980" s="5"/>
      <c r="V980" s="5"/>
      <c r="W980" s="5"/>
      <c r="X980" s="5"/>
      <c r="Y980" s="5"/>
      <c r="Z980" s="46"/>
      <c r="AA980" s="1383" t="s">
        <v>591</v>
      </c>
      <c r="AB980" s="1384"/>
      <c r="AC980" s="1384"/>
      <c r="AD980" s="1384"/>
      <c r="AE980" s="1384"/>
      <c r="AF980" s="1384"/>
      <c r="AG980" s="138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880</v>
      </c>
      <c r="G981" s="42"/>
      <c r="H981" s="42"/>
      <c r="I981" s="42"/>
      <c r="J981" s="42"/>
      <c r="K981" s="42"/>
      <c r="L981" s="58"/>
      <c r="M981" s="1444" t="s">
        <v>591</v>
      </c>
      <c r="N981" s="1445"/>
      <c r="O981" s="1445"/>
      <c r="P981" s="1445"/>
      <c r="Q981" s="1445"/>
      <c r="R981" s="1445"/>
      <c r="S981" s="1446"/>
      <c r="T981" s="1339"/>
      <c r="U981" s="1340"/>
      <c r="V981" s="1340"/>
      <c r="W981" s="1340"/>
      <c r="X981" s="1340"/>
      <c r="Y981" s="1340"/>
      <c r="Z981" s="1341"/>
      <c r="AA981" s="1383" t="s">
        <v>591</v>
      </c>
      <c r="AB981" s="1384"/>
      <c r="AC981" s="1384"/>
      <c r="AD981" s="1384"/>
      <c r="AE981" s="1384"/>
      <c r="AF981" s="1384"/>
      <c r="AG981" s="138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465</v>
      </c>
      <c r="G982" s="42"/>
      <c r="H982" s="42"/>
      <c r="I982" s="42"/>
      <c r="J982" s="42"/>
      <c r="K982" s="42"/>
      <c r="L982" s="58"/>
      <c r="M982" s="1383" t="s">
        <v>591</v>
      </c>
      <c r="N982" s="1384"/>
      <c r="O982" s="1384"/>
      <c r="P982" s="1384"/>
      <c r="Q982" s="1384"/>
      <c r="R982" s="1384"/>
      <c r="S982" s="1385"/>
      <c r="T982" s="1339"/>
      <c r="U982" s="1340"/>
      <c r="V982" s="1340"/>
      <c r="W982" s="1340"/>
      <c r="X982" s="1340"/>
      <c r="Y982" s="1340"/>
      <c r="Z982" s="1341"/>
      <c r="AA982" s="1383" t="s">
        <v>591</v>
      </c>
      <c r="AB982" s="1384"/>
      <c r="AC982" s="1384"/>
      <c r="AD982" s="1384"/>
      <c r="AE982" s="1384"/>
      <c r="AF982" s="1384"/>
      <c r="AG982" s="138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336</v>
      </c>
      <c r="G983" s="42"/>
      <c r="H983" s="42"/>
      <c r="I983" s="42"/>
      <c r="J983" s="42"/>
      <c r="K983" s="42"/>
      <c r="L983" s="42"/>
      <c r="M983" s="42"/>
      <c r="N983" s="42"/>
      <c r="O983" s="1622" t="s">
        <v>669</v>
      </c>
      <c r="P983" s="1623"/>
      <c r="Q983" s="92"/>
      <c r="R983" s="92"/>
      <c r="S983" s="93"/>
      <c r="T983" s="41" t="s">
        <v>170</v>
      </c>
      <c r="U983" s="42"/>
      <c r="V983" s="42"/>
      <c r="W983" s="1582" t="s">
        <v>334</v>
      </c>
      <c r="X983" s="1583"/>
      <c r="Y983" s="1583"/>
      <c r="Z983" s="1583"/>
      <c r="AA983" s="1583"/>
      <c r="AB983" s="1583"/>
      <c r="AC983" s="1583"/>
      <c r="AD983" s="1583"/>
      <c r="AE983" s="1583"/>
      <c r="AF983" s="1583"/>
      <c r="AG983" s="1584"/>
      <c r="AU983" s="68"/>
      <c r="AV983" s="95"/>
      <c r="AW983" s="95"/>
      <c r="AX983" s="95"/>
      <c r="AY983" s="95"/>
      <c r="AZ983" s="34"/>
      <c r="BB983" s="34"/>
      <c r="BC983" s="34"/>
      <c r="BD983" s="34"/>
      <c r="BE983" s="34"/>
      <c r="BF983" s="34"/>
      <c r="BG983" s="34"/>
      <c r="BH983" s="34"/>
      <c r="BI983" s="34"/>
      <c r="BJ983" s="34"/>
      <c r="BK983" s="34"/>
      <c r="BL983" s="34"/>
    </row>
    <row r="984" spans="1:64" ht="12.9" customHeight="1">
      <c r="F984" s="1624" t="s">
        <v>33</v>
      </c>
      <c r="G984" s="1474"/>
      <c r="H984" s="1474"/>
      <c r="I984" s="1474"/>
      <c r="J984" s="1474"/>
      <c r="K984" s="1474"/>
      <c r="L984" s="1474"/>
      <c r="M984" s="1383"/>
      <c r="N984" s="1384"/>
      <c r="O984" s="1384"/>
      <c r="P984" s="1384"/>
      <c r="Q984" s="1384"/>
      <c r="R984" s="1384"/>
      <c r="S984" s="1385"/>
      <c r="T984" s="47"/>
      <c r="U984" s="48"/>
      <c r="V984" s="48"/>
      <c r="W984" s="48"/>
      <c r="X984" s="48"/>
      <c r="Y984" s="48"/>
      <c r="Z984" s="124" t="s">
        <v>134</v>
      </c>
      <c r="AA984" s="1606"/>
      <c r="AB984" s="1607"/>
      <c r="AC984" s="1607"/>
      <c r="AD984" s="1607"/>
      <c r="AE984" s="1607"/>
      <c r="AF984" s="1607"/>
      <c r="AG984" s="1608"/>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77"/>
      <c r="BH985" s="1677"/>
      <c r="BI985" s="1677"/>
      <c r="BJ985" s="1677"/>
      <c r="BK985" s="1677"/>
      <c r="BL985" s="1677"/>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09" t="s">
        <v>548</v>
      </c>
      <c r="B988" s="1509"/>
      <c r="C988" s="1509"/>
      <c r="D988" s="1509"/>
      <c r="E988" s="1509"/>
      <c r="F988" s="1509"/>
      <c r="G988" s="1509"/>
      <c r="H988" s="1509"/>
      <c r="I988" s="1509"/>
      <c r="J988" s="1509"/>
      <c r="K988" s="1509"/>
      <c r="L988" s="1509"/>
      <c r="M988" s="1509"/>
      <c r="N988" s="1509"/>
      <c r="O988" s="1509"/>
      <c r="P988" s="1509"/>
      <c r="Q988" s="1509"/>
      <c r="R988" s="1509"/>
      <c r="S988" s="1509"/>
      <c r="T988" s="1509"/>
      <c r="U988" s="1509"/>
      <c r="V988" s="1509"/>
      <c r="W988" s="1509"/>
      <c r="X988" s="1509"/>
      <c r="Y988" s="1509"/>
      <c r="Z988" s="1509"/>
      <c r="AA988" s="1509"/>
      <c r="AB988" s="1509"/>
      <c r="AC988" s="1509"/>
      <c r="AD988" s="1509"/>
      <c r="AE988" s="1509"/>
      <c r="AF988" s="1509"/>
      <c r="AG988" s="1509"/>
      <c r="AH988" s="1509"/>
      <c r="AI988" s="1509"/>
      <c r="AJ988" s="1509"/>
      <c r="AK988" s="1509"/>
      <c r="AL988" s="1509"/>
      <c r="AM988" s="1509"/>
      <c r="AN988" s="1509"/>
      <c r="AO988" s="1509"/>
      <c r="AP988" s="1509"/>
      <c r="AQ988" s="1509"/>
      <c r="AR988" s="1509"/>
      <c r="AS988" s="1509"/>
      <c r="AT988" s="1509"/>
      <c r="AU988" s="68"/>
      <c r="AV988" s="68"/>
      <c r="AW988" s="68"/>
      <c r="AX988" s="68"/>
      <c r="AY988" s="68"/>
      <c r="AZ988" s="14"/>
      <c r="BA988" s="14"/>
      <c r="BB988" s="908"/>
      <c r="BC988" s="908"/>
    </row>
    <row r="989" spans="1:64" ht="12.9" customHeight="1">
      <c r="A989" s="1509"/>
      <c r="B989" s="1509"/>
      <c r="C989" s="1509"/>
      <c r="D989" s="1509"/>
      <c r="E989" s="1509"/>
      <c r="F989" s="1509"/>
      <c r="G989" s="1509"/>
      <c r="H989" s="1509"/>
      <c r="I989" s="1509"/>
      <c r="J989" s="1509"/>
      <c r="K989" s="1509"/>
      <c r="L989" s="1509"/>
      <c r="M989" s="1509"/>
      <c r="N989" s="1509"/>
      <c r="O989" s="1509"/>
      <c r="P989" s="1509"/>
      <c r="Q989" s="1509"/>
      <c r="R989" s="1509"/>
      <c r="S989" s="1509"/>
      <c r="T989" s="1509"/>
      <c r="U989" s="1509"/>
      <c r="V989" s="1509"/>
      <c r="W989" s="1509"/>
      <c r="X989" s="1509"/>
      <c r="Y989" s="1509"/>
      <c r="Z989" s="1509"/>
      <c r="AA989" s="1509"/>
      <c r="AB989" s="1509"/>
      <c r="AC989" s="1509"/>
      <c r="AD989" s="1509"/>
      <c r="AE989" s="1509"/>
      <c r="AF989" s="1509"/>
      <c r="AG989" s="1509"/>
      <c r="AH989" s="1509"/>
      <c r="AI989" s="1509"/>
      <c r="AJ989" s="1509"/>
      <c r="AK989" s="1509"/>
      <c r="AL989" s="1509"/>
      <c r="AM989" s="1509"/>
      <c r="AN989" s="1509"/>
      <c r="AO989" s="1509"/>
      <c r="AP989" s="1509"/>
      <c r="AQ989" s="1509"/>
      <c r="AR989" s="1509"/>
      <c r="AS989" s="1509"/>
      <c r="AT989" s="1509"/>
      <c r="AU989" s="68"/>
      <c r="AV989" s="68"/>
      <c r="AW989" s="68"/>
      <c r="AX989" s="68"/>
      <c r="AY989" s="68"/>
      <c r="AZ989" s="30"/>
      <c r="BA989" s="14"/>
      <c r="BB989" s="14"/>
      <c r="BC989" s="14"/>
    </row>
    <row r="990" spans="1:64" ht="12.9" customHeight="1">
      <c r="A990" s="1509"/>
      <c r="B990" s="1509"/>
      <c r="C990" s="1509"/>
      <c r="D990" s="1509"/>
      <c r="E990" s="1509"/>
      <c r="F990" s="1509"/>
      <c r="G990" s="1509"/>
      <c r="H990" s="1509"/>
      <c r="I990" s="1509"/>
      <c r="J990" s="1509"/>
      <c r="K990" s="1509"/>
      <c r="L990" s="1509"/>
      <c r="M990" s="1509"/>
      <c r="N990" s="1509"/>
      <c r="O990" s="1509"/>
      <c r="P990" s="1509"/>
      <c r="Q990" s="1509"/>
      <c r="R990" s="1509"/>
      <c r="S990" s="1509"/>
      <c r="T990" s="1509"/>
      <c r="U990" s="1509"/>
      <c r="V990" s="1509"/>
      <c r="W990" s="1509"/>
      <c r="X990" s="1509"/>
      <c r="Y990" s="1509"/>
      <c r="Z990" s="1509"/>
      <c r="AA990" s="1509"/>
      <c r="AB990" s="1509"/>
      <c r="AC990" s="1509"/>
      <c r="AD990" s="1509"/>
      <c r="AE990" s="1509"/>
      <c r="AF990" s="1509"/>
      <c r="AG990" s="1509"/>
      <c r="AH990" s="1509"/>
      <c r="AI990" s="1509"/>
      <c r="AJ990" s="1509"/>
      <c r="AK990" s="1509"/>
      <c r="AL990" s="1509"/>
      <c r="AM990" s="1509"/>
      <c r="AN990" s="1509"/>
      <c r="AO990" s="1509"/>
      <c r="AP990" s="1509"/>
      <c r="AQ990" s="1509"/>
      <c r="AR990" s="1509"/>
      <c r="AS990" s="1509"/>
      <c r="AT990" s="1509"/>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386" t="s">
        <v>638</v>
      </c>
      <c r="E994" s="1387"/>
      <c r="F994" s="1387"/>
      <c r="G994" s="1387"/>
      <c r="H994" s="1387"/>
      <c r="I994" s="1387"/>
      <c r="J994" s="1387"/>
      <c r="K994" s="1387"/>
      <c r="L994" s="1387"/>
      <c r="M994" s="1387"/>
      <c r="N994" s="1387"/>
      <c r="O994" s="1387"/>
      <c r="P994" s="1387"/>
      <c r="Q994" s="1388"/>
      <c r="R994" s="1386" t="s">
        <v>639</v>
      </c>
      <c r="S994" s="1387"/>
      <c r="T994" s="1387"/>
      <c r="U994" s="1387"/>
      <c r="V994" s="1387"/>
      <c r="W994" s="1387"/>
      <c r="X994" s="1387"/>
      <c r="Y994" s="1387"/>
      <c r="Z994" s="1387"/>
      <c r="AA994" s="1388"/>
      <c r="AB994" s="1386" t="s">
        <v>640</v>
      </c>
      <c r="AC994" s="1387"/>
      <c r="AD994" s="1387"/>
      <c r="AE994" s="1387"/>
      <c r="AF994" s="1387"/>
      <c r="AG994" s="1387"/>
      <c r="AH994" s="1387"/>
      <c r="AI994" s="1388"/>
      <c r="AJ994" s="1386" t="s">
        <v>641</v>
      </c>
      <c r="AK994" s="1387"/>
      <c r="AL994" s="1387"/>
      <c r="AM994" s="1387"/>
      <c r="AN994" s="1387"/>
      <c r="AO994" s="1387"/>
      <c r="AP994" s="1387"/>
      <c r="AQ994" s="1388"/>
      <c r="AR994" s="68"/>
      <c r="AS994" s="68"/>
      <c r="AT994" s="68"/>
      <c r="AU994" s="68"/>
      <c r="AV994" s="68"/>
      <c r="AW994" s="68"/>
      <c r="AX994" s="68"/>
      <c r="AY994" s="68"/>
      <c r="AZ994" s="30"/>
      <c r="BB994" s="14"/>
      <c r="BC994" s="14"/>
    </row>
    <row r="995" spans="1:55" ht="12.9" customHeight="1">
      <c r="A995" s="14"/>
      <c r="B995" s="73"/>
      <c r="C995" s="925"/>
      <c r="D995" s="1430" t="s">
        <v>633</v>
      </c>
      <c r="E995" s="1431"/>
      <c r="F995" s="1431"/>
      <c r="G995" s="1431"/>
      <c r="H995" s="1431"/>
      <c r="I995" s="1431"/>
      <c r="J995" s="1431"/>
      <c r="K995" s="1431"/>
      <c r="L995" s="1431"/>
      <c r="M995" s="1431"/>
      <c r="N995" s="1431"/>
      <c r="O995" s="1431"/>
      <c r="P995" s="1431"/>
      <c r="Q995" s="1432"/>
      <c r="R995" s="1342">
        <f>IF(ISNA(IF($CU$122="4%",(INDEX($CS$160:$CW$217,MATCH($DG$122,$CR$160:$CR$217,0),MATCH(D995,$CS$159:$CW$159,0))),(INDEX($CZ$160:$DD$217,MATCH($DG$122,$CY$160:$CY$217,0),MATCH(D995,$CZ$159:$DD$159,0))))),0,IF($CU$122="4%",(INDEX($CS$160:$CW$217,MATCH($DG$122,$CR$160:$CR$217,0),MATCH(D995,$CS$159:$CW$159,0))),(INDEX($CZ$160:$DD$217,MATCH($DG$122,$CY$160:$CY$217,0),MATCH(D995,$CZ$159:$DD$159,0)))))</f>
        <v>437727</v>
      </c>
      <c r="S995" s="1342"/>
      <c r="T995" s="1342"/>
      <c r="U995" s="1342"/>
      <c r="V995" s="1342"/>
      <c r="W995" s="1342"/>
      <c r="X995" s="1342"/>
      <c r="Y995" s="1342"/>
      <c r="Z995" s="1342"/>
      <c r="AA995" s="1342"/>
      <c r="AB995" s="1427">
        <f>CP810</f>
        <v>41</v>
      </c>
      <c r="AC995" s="1428"/>
      <c r="AD995" s="1428"/>
      <c r="AE995" s="1428"/>
      <c r="AF995" s="1428"/>
      <c r="AG995" s="1428"/>
      <c r="AH995" s="1428"/>
      <c r="AI995" s="1429"/>
      <c r="AJ995" s="1396">
        <f>IF(ISERROR((R995*AB995)),0,(R995*AB995))</f>
        <v>17946807</v>
      </c>
      <c r="AK995" s="1397"/>
      <c r="AL995" s="1397"/>
      <c r="AM995" s="1397"/>
      <c r="AN995" s="1397"/>
      <c r="AO995" s="1397"/>
      <c r="AP995" s="1397"/>
      <c r="AQ995" s="1398"/>
      <c r="AR995" s="68"/>
      <c r="AS995" s="68"/>
      <c r="AT995" s="68"/>
      <c r="AU995" s="68"/>
      <c r="AV995" s="68"/>
      <c r="AW995" s="68"/>
      <c r="AX995" s="68"/>
      <c r="AY995" s="68"/>
      <c r="AZ995" s="30"/>
      <c r="BB995" s="14"/>
      <c r="BC995" s="14"/>
    </row>
    <row r="996" spans="1:55" ht="12.9" customHeight="1">
      <c r="A996" s="14"/>
      <c r="B996" s="73"/>
      <c r="C996" s="83"/>
      <c r="D996" s="1430" t="s">
        <v>325</v>
      </c>
      <c r="E996" s="1431"/>
      <c r="F996" s="1431"/>
      <c r="G996" s="1431"/>
      <c r="H996" s="1431"/>
      <c r="I996" s="1431"/>
      <c r="J996" s="1431"/>
      <c r="K996" s="1431"/>
      <c r="L996" s="1431"/>
      <c r="M996" s="1431"/>
      <c r="N996" s="1431"/>
      <c r="O996" s="1431"/>
      <c r="P996" s="1431"/>
      <c r="Q996" s="1432"/>
      <c r="R996" s="1342">
        <f>IF(ISNA(IF($CU$122="4%",(INDEX($CS$160:$CW$217,MATCH($DG$122,$CR$160:$CR$217,0),MATCH(D996,$CS$159:$CW$159,0))),(INDEX($CZ$160:$DD$217,MATCH($DG$122,$CY$160:$CY$217,0),MATCH(D996,$CZ$159:$DD$159,0))))),0,IF($CU$122="4%",(INDEX($CS$160:$CW$217,MATCH($DG$122,$CR$160:$CR$217,0),MATCH(D996,$CS$159:$CW$159,0))),(INDEX($CZ$160:$DD$217,MATCH($DG$122,$CY$160:$CY$217,0),MATCH(D996,$CZ$159:$DD$159,0)))))</f>
        <v>504695</v>
      </c>
      <c r="S996" s="1342"/>
      <c r="T996" s="1342"/>
      <c r="U996" s="1342"/>
      <c r="V996" s="1342"/>
      <c r="W996" s="1342"/>
      <c r="X996" s="1342"/>
      <c r="Y996" s="1342"/>
      <c r="Z996" s="1342"/>
      <c r="AA996" s="1342"/>
      <c r="AB996" s="1427">
        <f>CU810</f>
        <v>47</v>
      </c>
      <c r="AC996" s="1428"/>
      <c r="AD996" s="1428"/>
      <c r="AE996" s="1428"/>
      <c r="AF996" s="1428"/>
      <c r="AG996" s="1428"/>
      <c r="AH996" s="1428"/>
      <c r="AI996" s="1429"/>
      <c r="AJ996" s="1396">
        <f>IF(ISERROR((R996*AB996)),0,(R996*AB996))</f>
        <v>23720665</v>
      </c>
      <c r="AK996" s="1397"/>
      <c r="AL996" s="1397"/>
      <c r="AM996" s="1397"/>
      <c r="AN996" s="1397"/>
      <c r="AO996" s="1397"/>
      <c r="AP996" s="1397"/>
      <c r="AQ996" s="1398"/>
      <c r="AR996" s="68"/>
      <c r="AS996" s="68"/>
      <c r="AT996" s="68"/>
      <c r="AU996" s="68"/>
      <c r="AV996" s="68"/>
      <c r="AW996" s="68"/>
      <c r="AX996" s="68"/>
      <c r="AY996" s="68"/>
      <c r="AZ996" s="30"/>
      <c r="BB996" s="14"/>
      <c r="BC996" s="14"/>
    </row>
    <row r="997" spans="1:55" ht="12.9" customHeight="1">
      <c r="A997" s="14"/>
      <c r="B997" s="73"/>
      <c r="C997" s="83"/>
      <c r="D997" s="1430" t="s">
        <v>163</v>
      </c>
      <c r="E997" s="1431"/>
      <c r="F997" s="1431"/>
      <c r="G997" s="1431"/>
      <c r="H997" s="1431"/>
      <c r="I997" s="1431"/>
      <c r="J997" s="1431"/>
      <c r="K997" s="1431"/>
      <c r="L997" s="1431"/>
      <c r="M997" s="1431"/>
      <c r="N997" s="1431"/>
      <c r="O997" s="1431"/>
      <c r="P997" s="1431"/>
      <c r="Q997" s="1432"/>
      <c r="R997" s="1342">
        <f>IF(ISNA(IF($CU$122="4%",(INDEX($CS$160:$CW$217,MATCH($DG$122,$CR$160:$CR$217,0),MATCH(D997,$CS$159:$CW$159,0))),(INDEX($CZ$160:$DD$217,MATCH($DG$122,$CY$160:$CY$217,0),MATCH(D997,$CZ$159:$DD$159,0))))),0,IF($CU$122="4%",(INDEX($CS$160:$CW$217,MATCH($DG$122,$CR$160:$CR$217,0),MATCH(D997,$CS$159:$CW$159,0))),(INDEX($CZ$160:$DD$217,MATCH($DG$122,$CY$160:$CY$217,0),MATCH(D997,$CZ$159:$DD$159,0)))))</f>
        <v>608800</v>
      </c>
      <c r="S997" s="1342"/>
      <c r="T997" s="1342"/>
      <c r="U997" s="1342"/>
      <c r="V997" s="1342"/>
      <c r="W997" s="1342"/>
      <c r="X997" s="1342"/>
      <c r="Y997" s="1342"/>
      <c r="Z997" s="1342"/>
      <c r="AA997" s="1342"/>
      <c r="AB997" s="1427">
        <f>CZ810</f>
        <v>7</v>
      </c>
      <c r="AC997" s="1428"/>
      <c r="AD997" s="1428"/>
      <c r="AE997" s="1428"/>
      <c r="AF997" s="1428"/>
      <c r="AG997" s="1428"/>
      <c r="AH997" s="1428"/>
      <c r="AI997" s="1429"/>
      <c r="AJ997" s="1396">
        <f>IF(ISERROR((R997*AB997)),0,(R997*AB997))</f>
        <v>4261600</v>
      </c>
      <c r="AK997" s="1397"/>
      <c r="AL997" s="1397"/>
      <c r="AM997" s="1397"/>
      <c r="AN997" s="1397"/>
      <c r="AO997" s="1397"/>
      <c r="AP997" s="1397"/>
      <c r="AQ997" s="1398"/>
      <c r="AR997" s="68"/>
      <c r="AS997" s="68"/>
      <c r="AT997" s="68"/>
      <c r="AU997" s="68"/>
      <c r="AV997" s="68"/>
      <c r="AW997" s="68"/>
      <c r="AX997" s="68"/>
      <c r="AY997" s="68"/>
      <c r="AZ997" s="30"/>
      <c r="BB997" s="14"/>
      <c r="BC997" s="14"/>
    </row>
    <row r="998" spans="1:55" ht="12.9" customHeight="1">
      <c r="A998" s="14"/>
      <c r="B998" s="73"/>
      <c r="C998" s="83"/>
      <c r="D998" s="1430" t="s">
        <v>164</v>
      </c>
      <c r="E998" s="1431"/>
      <c r="F998" s="1431"/>
      <c r="G998" s="1431"/>
      <c r="H998" s="1431"/>
      <c r="I998" s="1431"/>
      <c r="J998" s="1431"/>
      <c r="K998" s="1431"/>
      <c r="L998" s="1431"/>
      <c r="M998" s="1431"/>
      <c r="N998" s="1431"/>
      <c r="O998" s="1431"/>
      <c r="P998" s="1431"/>
      <c r="Q998" s="1432"/>
      <c r="R998" s="1342">
        <f>IF(ISNA(IF($CU$122="4%",(INDEX($CS$160:$CW$217,MATCH($DG$122,$CR$160:$CR$217,0),MATCH(D998,$CS$159:$CW$159,0))),(INDEX($CZ$160:$DD$217,MATCH($DG$122,$CY$160:$CY$217,0),MATCH(D998,$CZ$159:$DD$159,0))))),0,IF($CU$122="4%",(INDEX($CS$160:$CW$217,MATCH($DG$122,$CR$160:$CR$217,0),MATCH(D998,$CS$159:$CW$159,0))),(INDEX($CZ$160:$DD$217,MATCH($DG$122,$CY$160:$CY$217,0),MATCH(D998,$CZ$159:$DD$159,0)))))</f>
        <v>779264</v>
      </c>
      <c r="S998" s="1342"/>
      <c r="T998" s="1342"/>
      <c r="U998" s="1342"/>
      <c r="V998" s="1342"/>
      <c r="W998" s="1342"/>
      <c r="X998" s="1342"/>
      <c r="Y998" s="1342"/>
      <c r="Z998" s="1342"/>
      <c r="AA998" s="1342"/>
      <c r="AB998" s="1427">
        <f>DE810</f>
        <v>0</v>
      </c>
      <c r="AC998" s="1428"/>
      <c r="AD998" s="1428"/>
      <c r="AE998" s="1428"/>
      <c r="AF998" s="1428"/>
      <c r="AG998" s="1428"/>
      <c r="AH998" s="1428"/>
      <c r="AI998" s="1429"/>
      <c r="AJ998" s="1396">
        <f>IF(ISERROR((R998*AB998)),0,(R998*AB998))</f>
        <v>0</v>
      </c>
      <c r="AK998" s="1397"/>
      <c r="AL998" s="1397"/>
      <c r="AM998" s="1397"/>
      <c r="AN998" s="1397"/>
      <c r="AO998" s="1397"/>
      <c r="AP998" s="1397"/>
      <c r="AQ998" s="1398"/>
      <c r="AR998" s="68"/>
      <c r="AS998" s="68"/>
      <c r="AT998" s="68"/>
      <c r="AU998" s="68"/>
      <c r="AV998" s="68"/>
      <c r="AW998" s="68"/>
      <c r="AX998" s="68"/>
      <c r="AY998" s="68"/>
      <c r="AZ998" s="30"/>
      <c r="BA998" s="34"/>
      <c r="BB998" s="14"/>
      <c r="BC998" s="14"/>
    </row>
    <row r="999" spans="1:55" ht="12.9" customHeight="1">
      <c r="A999" s="14"/>
      <c r="B999" s="47"/>
      <c r="C999" s="78"/>
      <c r="D999" s="1430" t="s">
        <v>460</v>
      </c>
      <c r="E999" s="1431"/>
      <c r="F999" s="1431"/>
      <c r="G999" s="1431"/>
      <c r="H999" s="1431"/>
      <c r="I999" s="1431"/>
      <c r="J999" s="1431"/>
      <c r="K999" s="1431"/>
      <c r="L999" s="1431"/>
      <c r="M999" s="1431"/>
      <c r="N999" s="1431"/>
      <c r="O999" s="1431"/>
      <c r="P999" s="1431"/>
      <c r="Q999" s="1432"/>
      <c r="R999" s="1342">
        <f>IF(ISNA(IF($CU$122="4%",(INDEX($CS$160:$CW$217,MATCH($DG$122,$CR$160:$CR$217,0),MATCH(D999,$CS$159:$CW$159,0))),(INDEX($CZ$160:$DD$217,MATCH($DG$122,$CY$160:$CY$217,0),MATCH(D999,$CZ$159:$DD$159,0))))),0,IF($CU$122="4%",(INDEX($CS$160:$CW$217,MATCH($DG$122,$CR$160:$CR$217,0),MATCH(D999,$CS$159:$CW$159,0))),(INDEX($CZ$160:$DD$217,MATCH($DG$122,$CY$160:$CY$217,0),MATCH(D999,$CZ$159:$DD$159,0)))))</f>
        <v>868149</v>
      </c>
      <c r="S999" s="1342"/>
      <c r="T999" s="1342"/>
      <c r="U999" s="1342"/>
      <c r="V999" s="1342"/>
      <c r="W999" s="1342"/>
      <c r="X999" s="1342"/>
      <c r="Y999" s="1342"/>
      <c r="Z999" s="1342"/>
      <c r="AA999" s="1342"/>
      <c r="AB999" s="1427">
        <f>DO810+DJ810</f>
        <v>0</v>
      </c>
      <c r="AC999" s="1428"/>
      <c r="AD999" s="1428"/>
      <c r="AE999" s="1428"/>
      <c r="AF999" s="1428"/>
      <c r="AG999" s="1428"/>
      <c r="AH999" s="1428"/>
      <c r="AI999" s="1429"/>
      <c r="AJ999" s="1396">
        <f>IF(ISERROR((R999*AB999)),0,(R999*AB999))</f>
        <v>0</v>
      </c>
      <c r="AK999" s="1397"/>
      <c r="AL999" s="1397"/>
      <c r="AM999" s="1397"/>
      <c r="AN999" s="1397"/>
      <c r="AO999" s="1397"/>
      <c r="AP999" s="1397"/>
      <c r="AQ999" s="1398"/>
      <c r="AR999" s="68"/>
      <c r="AS999" s="68"/>
      <c r="AT999" s="68"/>
      <c r="AU999" s="68"/>
      <c r="AV999" s="68"/>
      <c r="AW999" s="68"/>
      <c r="AX999" s="68"/>
      <c r="AY999" s="68"/>
      <c r="AZ999" s="30"/>
      <c r="BB999" s="14"/>
      <c r="BC999" s="14"/>
    </row>
    <row r="1000" spans="1:55" ht="12.9" customHeight="1">
      <c r="A1000" s="14"/>
      <c r="B1000" s="1639" t="s">
        <v>791</v>
      </c>
      <c r="C1000" s="1640"/>
      <c r="D1000" s="1640"/>
      <c r="E1000" s="1640"/>
      <c r="F1000" s="1640"/>
      <c r="G1000" s="1640"/>
      <c r="H1000" s="1640"/>
      <c r="I1000" s="1640"/>
      <c r="J1000" s="1640"/>
      <c r="K1000" s="1640"/>
      <c r="L1000" s="1640"/>
      <c r="M1000" s="1640"/>
      <c r="N1000" s="1640"/>
      <c r="O1000" s="1640"/>
      <c r="P1000" s="1640"/>
      <c r="Q1000" s="1640"/>
      <c r="R1000" s="1640"/>
      <c r="S1000" s="1640"/>
      <c r="T1000" s="1640"/>
      <c r="U1000" s="1640"/>
      <c r="V1000" s="1640"/>
      <c r="W1000" s="1640"/>
      <c r="X1000" s="1640"/>
      <c r="Y1000" s="1640"/>
      <c r="Z1000" s="1640"/>
      <c r="AA1000" s="1641"/>
      <c r="AB1000" s="1427">
        <f>SUM(AB995:AI999)</f>
        <v>95</v>
      </c>
      <c r="AC1000" s="1428"/>
      <c r="AD1000" s="1428"/>
      <c r="AE1000" s="1428"/>
      <c r="AF1000" s="1428"/>
      <c r="AG1000" s="1428"/>
      <c r="AH1000" s="1428"/>
      <c r="AI1000" s="1429"/>
      <c r="AJ1000" s="1396"/>
      <c r="AK1000" s="1397"/>
      <c r="AL1000" s="1397"/>
      <c r="AM1000" s="1397"/>
      <c r="AN1000" s="1397"/>
      <c r="AO1000" s="1397"/>
      <c r="AP1000" s="1397"/>
      <c r="AQ1000" s="1398"/>
      <c r="AR1000" s="68"/>
      <c r="AS1000" s="68"/>
      <c r="AT1000" s="68"/>
      <c r="AU1000" s="68"/>
      <c r="AV1000" s="68"/>
      <c r="AW1000" s="68"/>
      <c r="AX1000" s="68"/>
      <c r="AY1000" s="68"/>
      <c r="AZ1000" s="34"/>
      <c r="BA1000" s="34"/>
      <c r="BB1000" s="14"/>
      <c r="BC1000" s="14"/>
    </row>
    <row r="1001" spans="1:55" ht="12.9" customHeight="1">
      <c r="A1001" s="14"/>
      <c r="B1001" s="1674" t="s">
        <v>512</v>
      </c>
      <c r="C1001" s="1675"/>
      <c r="D1001" s="1675"/>
      <c r="E1001" s="1675"/>
      <c r="F1001" s="1675"/>
      <c r="G1001" s="1675"/>
      <c r="H1001" s="1675"/>
      <c r="I1001" s="1675"/>
      <c r="J1001" s="1675"/>
      <c r="K1001" s="1675"/>
      <c r="L1001" s="1675"/>
      <c r="M1001" s="1675"/>
      <c r="N1001" s="1675"/>
      <c r="O1001" s="1675"/>
      <c r="P1001" s="1675"/>
      <c r="Q1001" s="1675"/>
      <c r="R1001" s="1675"/>
      <c r="S1001" s="1675"/>
      <c r="T1001" s="1675"/>
      <c r="U1001" s="1675"/>
      <c r="V1001" s="1675"/>
      <c r="W1001" s="1675"/>
      <c r="X1001" s="1675"/>
      <c r="Y1001" s="1675"/>
      <c r="Z1001" s="1675"/>
      <c r="AA1001" s="1675"/>
      <c r="AB1001" s="1675"/>
      <c r="AC1001" s="1675"/>
      <c r="AD1001" s="1675"/>
      <c r="AE1001" s="1675"/>
      <c r="AF1001" s="1675"/>
      <c r="AG1001" s="1675"/>
      <c r="AH1001" s="1675"/>
      <c r="AI1001" s="1676"/>
      <c r="AJ1001" s="1396">
        <f>SUM(AJ995:AQ999)</f>
        <v>45929072</v>
      </c>
      <c r="AK1001" s="1397"/>
      <c r="AL1001" s="1397"/>
      <c r="AM1001" s="1397"/>
      <c r="AN1001" s="1397"/>
      <c r="AO1001" s="1397"/>
      <c r="AP1001" s="1397"/>
      <c r="AQ1001" s="1398"/>
      <c r="AR1001" s="68"/>
      <c r="AS1001" s="68"/>
      <c r="AT1001" s="68"/>
      <c r="AU1001" s="68"/>
      <c r="AV1001" s="68"/>
      <c r="AW1001" s="68"/>
      <c r="AX1001" s="68"/>
      <c r="AY1001" s="68"/>
      <c r="AZ1001" s="34"/>
      <c r="BB1001" s="34"/>
      <c r="BC1001" s="34"/>
    </row>
    <row r="1002" spans="1:55" ht="12.9" customHeight="1">
      <c r="A1002" s="14"/>
      <c r="B1002" s="1399"/>
      <c r="C1002" s="1400"/>
      <c r="D1002" s="1400"/>
      <c r="E1002" s="1400"/>
      <c r="F1002" s="1400"/>
      <c r="G1002" s="1400"/>
      <c r="H1002" s="1400"/>
      <c r="I1002" s="1400"/>
      <c r="J1002" s="1400"/>
      <c r="K1002" s="1400"/>
      <c r="L1002" s="1400"/>
      <c r="M1002" s="1400"/>
      <c r="N1002" s="1400"/>
      <c r="O1002" s="1400"/>
      <c r="P1002" s="1400"/>
      <c r="Q1002" s="1400"/>
      <c r="R1002" s="1400"/>
      <c r="S1002" s="1400"/>
      <c r="T1002" s="1400"/>
      <c r="U1002" s="1400"/>
      <c r="V1002" s="1400"/>
      <c r="W1002" s="1400"/>
      <c r="X1002" s="1400"/>
      <c r="Y1002" s="1400"/>
      <c r="Z1002" s="1400"/>
      <c r="AA1002" s="1400"/>
      <c r="AB1002" s="1400"/>
      <c r="AC1002" s="1400"/>
      <c r="AD1002" s="1400"/>
      <c r="AE1002" s="1401"/>
      <c r="AF1002" s="1609" t="s">
        <v>666</v>
      </c>
      <c r="AG1002" s="1610"/>
      <c r="AH1002" s="1610"/>
      <c r="AI1002" s="1611"/>
      <c r="AJ1002" s="1399"/>
      <c r="AK1002" s="1400"/>
      <c r="AL1002" s="1400"/>
      <c r="AM1002" s="1400"/>
      <c r="AN1002" s="1400"/>
      <c r="AO1002" s="1400"/>
      <c r="AP1002" s="1400"/>
      <c r="AQ1002" s="1401"/>
      <c r="AR1002" s="68"/>
      <c r="AS1002" s="68"/>
      <c r="AT1002" s="68"/>
      <c r="AU1002" s="68"/>
      <c r="AV1002" s="68"/>
      <c r="AW1002" s="68"/>
      <c r="AX1002" s="68"/>
      <c r="AY1002" s="68"/>
      <c r="AZ1002" s="34"/>
      <c r="BA1002" s="34"/>
      <c r="BB1002" s="34"/>
      <c r="BC1002" s="34"/>
    </row>
    <row r="1003" spans="1:55" ht="12.9" customHeight="1">
      <c r="A1003" s="14"/>
      <c r="B1003" s="73"/>
      <c r="C1003" s="923" t="s">
        <v>668</v>
      </c>
      <c r="D1003" s="1586" t="s">
        <v>1219</v>
      </c>
      <c r="E1003" s="1587"/>
      <c r="F1003" s="1587"/>
      <c r="G1003" s="1587"/>
      <c r="H1003" s="1587"/>
      <c r="I1003" s="1587"/>
      <c r="J1003" s="1587"/>
      <c r="K1003" s="1587"/>
      <c r="L1003" s="1587"/>
      <c r="M1003" s="1587"/>
      <c r="N1003" s="1587"/>
      <c r="O1003" s="1587"/>
      <c r="P1003" s="1587"/>
      <c r="Q1003" s="1587"/>
      <c r="R1003" s="1587"/>
      <c r="S1003" s="1587"/>
      <c r="T1003" s="1587"/>
      <c r="U1003" s="1587"/>
      <c r="V1003" s="1587"/>
      <c r="W1003" s="1587"/>
      <c r="X1003" s="1587"/>
      <c r="Y1003" s="1587"/>
      <c r="Z1003" s="1587"/>
      <c r="AA1003" s="1587"/>
      <c r="AB1003" s="1587"/>
      <c r="AC1003" s="1587"/>
      <c r="AD1003" s="1587"/>
      <c r="AE1003" s="1588"/>
      <c r="AF1003" s="79"/>
      <c r="AG1003" s="1612" t="s">
        <v>545</v>
      </c>
      <c r="AH1003" s="1613"/>
      <c r="AI1003" s="87"/>
      <c r="AJ1003" s="1371">
        <f>ROUND(IF(AND(AG1003="yes",D1009&gt;0),AJ1001*0.2,0),0)</f>
        <v>9185814</v>
      </c>
      <c r="AK1003" s="1372"/>
      <c r="AL1003" s="1372"/>
      <c r="AM1003" s="1372"/>
      <c r="AN1003" s="1372"/>
      <c r="AO1003" s="1372"/>
      <c r="AP1003" s="1372"/>
      <c r="AQ1003" s="1373"/>
      <c r="AR1003" s="68"/>
      <c r="AS1003" s="68"/>
      <c r="AT1003" s="68"/>
      <c r="AU1003" s="68"/>
      <c r="AV1003" s="68"/>
      <c r="AW1003" s="68"/>
      <c r="AX1003" s="68"/>
      <c r="AY1003" s="68"/>
      <c r="AZ1003" s="34"/>
      <c r="BA1003" s="34"/>
      <c r="BB1003" s="34"/>
      <c r="BC1003" s="34"/>
    </row>
    <row r="1004" spans="1:55" ht="12.9" customHeight="1">
      <c r="A1004" s="14"/>
      <c r="B1004" s="257"/>
      <c r="C1004" s="256"/>
      <c r="D1004" s="1616" t="s">
        <v>2187</v>
      </c>
      <c r="E1004" s="1617"/>
      <c r="F1004" s="1617"/>
      <c r="G1004" s="1617"/>
      <c r="H1004" s="1617"/>
      <c r="I1004" s="1617"/>
      <c r="J1004" s="1617"/>
      <c r="K1004" s="1617"/>
      <c r="L1004" s="1617"/>
      <c r="M1004" s="1617"/>
      <c r="N1004" s="1617"/>
      <c r="O1004" s="1617"/>
      <c r="P1004" s="1617"/>
      <c r="Q1004" s="1617"/>
      <c r="R1004" s="1617"/>
      <c r="S1004" s="1617"/>
      <c r="T1004" s="1617"/>
      <c r="U1004" s="1617"/>
      <c r="V1004" s="1617"/>
      <c r="W1004" s="1617"/>
      <c r="X1004" s="1617"/>
      <c r="Y1004" s="1617"/>
      <c r="Z1004" s="1617"/>
      <c r="AA1004" s="1617"/>
      <c r="AB1004" s="1617"/>
      <c r="AC1004" s="1617"/>
      <c r="AD1004" s="1617"/>
      <c r="AE1004" s="1618"/>
      <c r="AF1004" s="73"/>
      <c r="AG1004" s="14"/>
      <c r="AH1004" s="14"/>
      <c r="AI1004" s="83"/>
      <c r="AJ1004" s="1374"/>
      <c r="AK1004" s="1375"/>
      <c r="AL1004" s="1375"/>
      <c r="AM1004" s="1375"/>
      <c r="AN1004" s="1375"/>
      <c r="AO1004" s="1375"/>
      <c r="AP1004" s="1375"/>
      <c r="AQ1004" s="1376"/>
      <c r="AR1004" s="68"/>
      <c r="AS1004" s="68"/>
      <c r="AT1004" s="68"/>
      <c r="AU1004" s="68"/>
      <c r="AV1004" s="68"/>
      <c r="AW1004" s="68"/>
      <c r="AX1004" s="68"/>
      <c r="AY1004" s="68"/>
      <c r="AZ1004" s="34"/>
      <c r="BA1004" s="34"/>
      <c r="BB1004" s="34"/>
      <c r="BC1004" s="34"/>
    </row>
    <row r="1005" spans="1:55" ht="12.9" customHeight="1">
      <c r="A1005" s="14"/>
      <c r="B1005" s="257"/>
      <c r="C1005" s="256"/>
      <c r="D1005" s="1616"/>
      <c r="E1005" s="1617"/>
      <c r="F1005" s="1617"/>
      <c r="G1005" s="1617"/>
      <c r="H1005" s="1617"/>
      <c r="I1005" s="1617"/>
      <c r="J1005" s="1617"/>
      <c r="K1005" s="1617"/>
      <c r="L1005" s="1617"/>
      <c r="M1005" s="1617"/>
      <c r="N1005" s="1617"/>
      <c r="O1005" s="1617"/>
      <c r="P1005" s="1617"/>
      <c r="Q1005" s="1617"/>
      <c r="R1005" s="1617"/>
      <c r="S1005" s="1617"/>
      <c r="T1005" s="1617"/>
      <c r="U1005" s="1617"/>
      <c r="V1005" s="1617"/>
      <c r="W1005" s="1617"/>
      <c r="X1005" s="1617"/>
      <c r="Y1005" s="1617"/>
      <c r="Z1005" s="1617"/>
      <c r="AA1005" s="1617"/>
      <c r="AB1005" s="1617"/>
      <c r="AC1005" s="1617"/>
      <c r="AD1005" s="1617"/>
      <c r="AE1005" s="1618"/>
      <c r="AF1005" s="73"/>
      <c r="AG1005" s="14"/>
      <c r="AH1005" s="14"/>
      <c r="AI1005" s="83"/>
      <c r="AJ1005" s="1374"/>
      <c r="AK1005" s="1375"/>
      <c r="AL1005" s="1375"/>
      <c r="AM1005" s="1375"/>
      <c r="AN1005" s="1375"/>
      <c r="AO1005" s="1375"/>
      <c r="AP1005" s="1375"/>
      <c r="AQ1005" s="1376"/>
      <c r="AR1005" s="68"/>
      <c r="AS1005" s="68"/>
      <c r="AT1005" s="68"/>
      <c r="AU1005" s="68"/>
      <c r="AV1005" s="68"/>
      <c r="AW1005" s="68"/>
      <c r="AX1005" s="68"/>
      <c r="AY1005" s="68"/>
      <c r="AZ1005" s="34"/>
      <c r="BA1005" s="34"/>
      <c r="BB1005" s="34"/>
      <c r="BC1005" s="34"/>
    </row>
    <row r="1006" spans="1:55" ht="12.9" customHeight="1">
      <c r="A1006" s="14"/>
      <c r="B1006" s="257"/>
      <c r="C1006" s="256"/>
      <c r="D1006" s="1616"/>
      <c r="E1006" s="1617"/>
      <c r="F1006" s="1617"/>
      <c r="G1006" s="1617"/>
      <c r="H1006" s="1617"/>
      <c r="I1006" s="1617"/>
      <c r="J1006" s="1617"/>
      <c r="K1006" s="1617"/>
      <c r="L1006" s="1617"/>
      <c r="M1006" s="1617"/>
      <c r="N1006" s="1617"/>
      <c r="O1006" s="1617"/>
      <c r="P1006" s="1617"/>
      <c r="Q1006" s="1617"/>
      <c r="R1006" s="1617"/>
      <c r="S1006" s="1617"/>
      <c r="T1006" s="1617"/>
      <c r="U1006" s="1617"/>
      <c r="V1006" s="1617"/>
      <c r="W1006" s="1617"/>
      <c r="X1006" s="1617"/>
      <c r="Y1006" s="1617"/>
      <c r="Z1006" s="1617"/>
      <c r="AA1006" s="1617"/>
      <c r="AB1006" s="1617"/>
      <c r="AC1006" s="1617"/>
      <c r="AD1006" s="1617"/>
      <c r="AE1006" s="1618"/>
      <c r="AF1006" s="73"/>
      <c r="AG1006" s="14"/>
      <c r="AH1006" s="14"/>
      <c r="AI1006" s="83"/>
      <c r="AJ1006" s="1374"/>
      <c r="AK1006" s="1375"/>
      <c r="AL1006" s="1375"/>
      <c r="AM1006" s="1375"/>
      <c r="AN1006" s="1375"/>
      <c r="AO1006" s="1375"/>
      <c r="AP1006" s="1375"/>
      <c r="AQ1006" s="1376"/>
      <c r="AR1006" s="68"/>
      <c r="AS1006" s="68"/>
      <c r="AT1006" s="68"/>
      <c r="AU1006" s="68"/>
      <c r="AV1006" s="68"/>
      <c r="AW1006" s="68"/>
      <c r="AX1006" s="68"/>
      <c r="AY1006" s="68"/>
      <c r="AZ1006" s="34"/>
      <c r="BA1006" s="34"/>
      <c r="BB1006" s="34"/>
      <c r="BC1006" s="34"/>
    </row>
    <row r="1007" spans="1:55" ht="12.9" customHeight="1">
      <c r="A1007" s="14"/>
      <c r="B1007" s="257"/>
      <c r="C1007" s="256"/>
      <c r="D1007" s="1616"/>
      <c r="E1007" s="1617"/>
      <c r="F1007" s="1617"/>
      <c r="G1007" s="1617"/>
      <c r="H1007" s="1617"/>
      <c r="I1007" s="1617"/>
      <c r="J1007" s="1617"/>
      <c r="K1007" s="1617"/>
      <c r="L1007" s="1617"/>
      <c r="M1007" s="1617"/>
      <c r="N1007" s="1617"/>
      <c r="O1007" s="1617"/>
      <c r="P1007" s="1617"/>
      <c r="Q1007" s="1617"/>
      <c r="R1007" s="1617"/>
      <c r="S1007" s="1617"/>
      <c r="T1007" s="1617"/>
      <c r="U1007" s="1617"/>
      <c r="V1007" s="1617"/>
      <c r="W1007" s="1617"/>
      <c r="X1007" s="1617"/>
      <c r="Y1007" s="1617"/>
      <c r="Z1007" s="1617"/>
      <c r="AA1007" s="1617"/>
      <c r="AB1007" s="1617"/>
      <c r="AC1007" s="1617"/>
      <c r="AD1007" s="1617"/>
      <c r="AE1007" s="1618"/>
      <c r="AF1007" s="73"/>
      <c r="AG1007" s="14"/>
      <c r="AH1007" s="14"/>
      <c r="AI1007" s="83"/>
      <c r="AJ1007" s="1374"/>
      <c r="AK1007" s="1375"/>
      <c r="AL1007" s="1375"/>
      <c r="AM1007" s="1375"/>
      <c r="AN1007" s="1375"/>
      <c r="AO1007" s="1375"/>
      <c r="AP1007" s="1375"/>
      <c r="AQ1007" s="1376"/>
      <c r="AR1007" s="68"/>
      <c r="AS1007" s="68"/>
      <c r="AT1007" s="68"/>
      <c r="AU1007" s="68"/>
      <c r="AV1007" s="68"/>
      <c r="AW1007" s="68"/>
      <c r="AX1007" s="68"/>
      <c r="AY1007" s="68"/>
      <c r="AZ1007" s="34"/>
      <c r="BA1007" s="34"/>
      <c r="BB1007" s="34"/>
      <c r="BC1007" s="34"/>
    </row>
    <row r="1008" spans="1:55" ht="12.9" customHeight="1">
      <c r="A1008" s="14"/>
      <c r="B1008" s="257"/>
      <c r="C1008" s="256"/>
      <c r="D1008" s="1619" t="s">
        <v>2158</v>
      </c>
      <c r="E1008" s="1620"/>
      <c r="F1008" s="1620"/>
      <c r="G1008" s="1620"/>
      <c r="H1008" s="1620"/>
      <c r="I1008" s="1620"/>
      <c r="J1008" s="1620"/>
      <c r="K1008" s="1620"/>
      <c r="L1008" s="1620"/>
      <c r="M1008" s="1620"/>
      <c r="N1008" s="1620"/>
      <c r="O1008" s="1620"/>
      <c r="P1008" s="1620"/>
      <c r="Q1008" s="1620"/>
      <c r="R1008" s="1620"/>
      <c r="S1008" s="1620"/>
      <c r="T1008" s="1620"/>
      <c r="U1008" s="1620"/>
      <c r="V1008" s="1620"/>
      <c r="W1008" s="1620"/>
      <c r="X1008" s="1620"/>
      <c r="Y1008" s="1620"/>
      <c r="Z1008" s="1620"/>
      <c r="AA1008" s="1620"/>
      <c r="AB1008" s="1620"/>
      <c r="AC1008" s="1620"/>
      <c r="AD1008" s="1620"/>
      <c r="AE1008" s="1621"/>
      <c r="AF1008" s="73"/>
      <c r="AG1008" s="14"/>
      <c r="AH1008" s="14"/>
      <c r="AI1008" s="83"/>
      <c r="AJ1008" s="1374"/>
      <c r="AK1008" s="1375"/>
      <c r="AL1008" s="1375"/>
      <c r="AM1008" s="1375"/>
      <c r="AN1008" s="1375"/>
      <c r="AO1008" s="1375"/>
      <c r="AP1008" s="1375"/>
      <c r="AQ1008" s="1376"/>
      <c r="AR1008" s="68"/>
      <c r="AS1008" s="68"/>
      <c r="AT1008" s="68"/>
      <c r="AU1008" s="68"/>
      <c r="AV1008" s="68"/>
      <c r="AW1008" s="68"/>
      <c r="AX1008" s="68"/>
      <c r="AY1008" s="68"/>
      <c r="AZ1008" s="34"/>
      <c r="BA1008" s="34"/>
      <c r="BB1008" s="34"/>
      <c r="BC1008" s="34"/>
    </row>
    <row r="1009" spans="1:55" ht="12.9" customHeight="1">
      <c r="A1009" s="14"/>
      <c r="B1009" s="257"/>
      <c r="C1009" s="256"/>
      <c r="D1009" s="1647" t="s">
        <v>2778</v>
      </c>
      <c r="E1009" s="1648"/>
      <c r="F1009" s="1648"/>
      <c r="G1009" s="1648"/>
      <c r="H1009" s="1648"/>
      <c r="I1009" s="1648"/>
      <c r="J1009" s="1648"/>
      <c r="K1009" s="1648"/>
      <c r="L1009" s="1648"/>
      <c r="M1009" s="1648"/>
      <c r="N1009" s="1648"/>
      <c r="O1009" s="1648"/>
      <c r="P1009" s="1648"/>
      <c r="Q1009" s="1648"/>
      <c r="R1009" s="1648"/>
      <c r="S1009" s="1648"/>
      <c r="T1009" s="1648"/>
      <c r="U1009" s="1648"/>
      <c r="V1009" s="1648"/>
      <c r="W1009" s="1648"/>
      <c r="X1009" s="1648"/>
      <c r="Y1009" s="1648"/>
      <c r="Z1009" s="1648"/>
      <c r="AA1009" s="1648"/>
      <c r="AB1009" s="1648"/>
      <c r="AC1009" s="1648"/>
      <c r="AD1009" s="1648"/>
      <c r="AE1009" s="1649"/>
      <c r="AF1009" s="77"/>
      <c r="AG1009" s="7"/>
      <c r="AH1009" s="7"/>
      <c r="AI1009" s="78"/>
      <c r="AJ1009" s="1377"/>
      <c r="AK1009" s="1378"/>
      <c r="AL1009" s="1378"/>
      <c r="AM1009" s="1378"/>
      <c r="AN1009" s="1378"/>
      <c r="AO1009" s="1378"/>
      <c r="AP1009" s="1378"/>
      <c r="AQ1009" s="1379"/>
      <c r="AR1009" s="68"/>
      <c r="AS1009" s="68"/>
      <c r="AT1009" s="68"/>
      <c r="AU1009" s="68"/>
      <c r="AV1009" s="68"/>
      <c r="AW1009" s="68"/>
      <c r="AX1009" s="68"/>
      <c r="AY1009" s="68"/>
      <c r="AZ1009" s="34"/>
      <c r="BA1009" s="34"/>
      <c r="BB1009" s="34"/>
      <c r="BC1009" s="34"/>
    </row>
    <row r="1010" spans="1:55" ht="12.9" customHeight="1">
      <c r="A1010" s="14"/>
      <c r="B1010" s="255"/>
      <c r="C1010" s="318"/>
      <c r="D1010" s="1567" t="s">
        <v>1285</v>
      </c>
      <c r="E1010" s="1568"/>
      <c r="F1010" s="1568"/>
      <c r="G1010" s="1568"/>
      <c r="H1010" s="1568"/>
      <c r="I1010" s="1568"/>
      <c r="J1010" s="1568"/>
      <c r="K1010" s="1568"/>
      <c r="L1010" s="1568"/>
      <c r="M1010" s="1568"/>
      <c r="N1010" s="1568"/>
      <c r="O1010" s="1568"/>
      <c r="P1010" s="1568"/>
      <c r="Q1010" s="1568"/>
      <c r="R1010" s="1568"/>
      <c r="S1010" s="1568"/>
      <c r="T1010" s="1568"/>
      <c r="U1010" s="1568"/>
      <c r="V1010" s="1568"/>
      <c r="W1010" s="1568"/>
      <c r="X1010" s="1568"/>
      <c r="Y1010" s="1568"/>
      <c r="Z1010" s="1568"/>
      <c r="AA1010" s="1568"/>
      <c r="AB1010" s="1568"/>
      <c r="AC1010" s="1568"/>
      <c r="AD1010" s="1568"/>
      <c r="AE1010" s="1569"/>
      <c r="AF1010" s="79"/>
      <c r="AG1010" s="1585" t="s">
        <v>669</v>
      </c>
      <c r="AH1010" s="1580"/>
      <c r="AI1010" s="87"/>
      <c r="AJ1010" s="1371">
        <f>ROUND(IF(AG1010="yes",AJ1001*0.05,0),0)</f>
        <v>0</v>
      </c>
      <c r="AK1010" s="1372"/>
      <c r="AL1010" s="1372"/>
      <c r="AM1010" s="1372"/>
      <c r="AN1010" s="1372"/>
      <c r="AO1010" s="1372"/>
      <c r="AP1010" s="1372"/>
      <c r="AQ1010" s="1373"/>
      <c r="AR1010" s="68"/>
      <c r="AS1010" s="68"/>
      <c r="AT1010" s="68"/>
      <c r="AU1010" s="68"/>
      <c r="AV1010" s="68"/>
      <c r="AW1010" s="68"/>
      <c r="AX1010" s="68"/>
      <c r="AY1010" s="68"/>
      <c r="AZ1010" s="34"/>
      <c r="BA1010" s="34"/>
      <c r="BB1010" s="34"/>
      <c r="BC1010" s="34"/>
    </row>
    <row r="1011" spans="1:55" ht="12.9" customHeight="1">
      <c r="A1011" s="14"/>
      <c r="B1011" s="257"/>
      <c r="C1011" s="82"/>
      <c r="D1011" s="1616" t="s">
        <v>1283</v>
      </c>
      <c r="E1011" s="1617"/>
      <c r="F1011" s="1617"/>
      <c r="G1011" s="1617"/>
      <c r="H1011" s="1617"/>
      <c r="I1011" s="1617"/>
      <c r="J1011" s="1617"/>
      <c r="K1011" s="1617"/>
      <c r="L1011" s="1617"/>
      <c r="M1011" s="1617"/>
      <c r="N1011" s="1617"/>
      <c r="O1011" s="1617"/>
      <c r="P1011" s="1617"/>
      <c r="Q1011" s="1617"/>
      <c r="R1011" s="1617"/>
      <c r="S1011" s="1617"/>
      <c r="T1011" s="1617"/>
      <c r="U1011" s="1617"/>
      <c r="V1011" s="1617"/>
      <c r="W1011" s="1617"/>
      <c r="X1011" s="1617"/>
      <c r="Y1011" s="1617"/>
      <c r="Z1011" s="1617"/>
      <c r="AA1011" s="1617"/>
      <c r="AB1011" s="1617"/>
      <c r="AC1011" s="1617"/>
      <c r="AD1011" s="1617"/>
      <c r="AE1011" s="1618"/>
      <c r="AF1011" s="73"/>
      <c r="AG1011" s="14"/>
      <c r="AH1011" s="14"/>
      <c r="AI1011" s="83"/>
      <c r="AJ1011" s="1374"/>
      <c r="AK1011" s="1375"/>
      <c r="AL1011" s="1375"/>
      <c r="AM1011" s="1375"/>
      <c r="AN1011" s="1375"/>
      <c r="AO1011" s="1375"/>
      <c r="AP1011" s="1375"/>
      <c r="AQ1011" s="1376"/>
      <c r="AR1011" s="68"/>
      <c r="AS1011" s="68"/>
      <c r="AT1011" s="68"/>
      <c r="AU1011" s="68"/>
      <c r="AV1011" s="68"/>
      <c r="AW1011" s="68"/>
      <c r="AX1011" s="68"/>
      <c r="AY1011" s="34"/>
      <c r="AZ1011" s="34"/>
      <c r="BB1011" s="34"/>
    </row>
    <row r="1012" spans="1:55" ht="12.9" customHeight="1">
      <c r="A1012" s="14"/>
      <c r="B1012" s="257"/>
      <c r="C1012" s="82"/>
      <c r="D1012" s="1616"/>
      <c r="E1012" s="1617"/>
      <c r="F1012" s="1617"/>
      <c r="G1012" s="1617"/>
      <c r="H1012" s="1617"/>
      <c r="I1012" s="1617"/>
      <c r="J1012" s="1617"/>
      <c r="K1012" s="1617"/>
      <c r="L1012" s="1617"/>
      <c r="M1012" s="1617"/>
      <c r="N1012" s="1617"/>
      <c r="O1012" s="1617"/>
      <c r="P1012" s="1617"/>
      <c r="Q1012" s="1617"/>
      <c r="R1012" s="1617"/>
      <c r="S1012" s="1617"/>
      <c r="T1012" s="1617"/>
      <c r="U1012" s="1617"/>
      <c r="V1012" s="1617"/>
      <c r="W1012" s="1617"/>
      <c r="X1012" s="1617"/>
      <c r="Y1012" s="1617"/>
      <c r="Z1012" s="1617"/>
      <c r="AA1012" s="1617"/>
      <c r="AB1012" s="1617"/>
      <c r="AC1012" s="1617"/>
      <c r="AD1012" s="1617"/>
      <c r="AE1012" s="1618"/>
      <c r="AF1012" s="73"/>
      <c r="AG1012" s="14"/>
      <c r="AH1012" s="14"/>
      <c r="AI1012" s="83"/>
      <c r="AJ1012" s="1374"/>
      <c r="AK1012" s="1375"/>
      <c r="AL1012" s="1375"/>
      <c r="AM1012" s="1375"/>
      <c r="AN1012" s="1375"/>
      <c r="AO1012" s="1375"/>
      <c r="AP1012" s="1375"/>
      <c r="AQ1012" s="1376"/>
      <c r="AR1012" s="68"/>
      <c r="AS1012" s="68"/>
      <c r="AT1012" s="68"/>
      <c r="AU1012" s="68"/>
      <c r="AV1012" s="68"/>
      <c r="AW1012" s="68"/>
      <c r="AX1012" s="68"/>
      <c r="AY1012" s="910">
        <f>G761+O805</f>
        <v>93</v>
      </c>
      <c r="AZ1012" s="34"/>
      <c r="BB1012" s="34"/>
    </row>
    <row r="1013" spans="1:55" ht="12.9" customHeight="1">
      <c r="A1013" s="14"/>
      <c r="B1013" s="257"/>
      <c r="C1013" s="82"/>
      <c r="D1013" s="1616"/>
      <c r="E1013" s="1617"/>
      <c r="F1013" s="1617"/>
      <c r="G1013" s="1617"/>
      <c r="H1013" s="1617"/>
      <c r="I1013" s="1617"/>
      <c r="J1013" s="1617"/>
      <c r="K1013" s="1617"/>
      <c r="L1013" s="1617"/>
      <c r="M1013" s="1617"/>
      <c r="N1013" s="1617"/>
      <c r="O1013" s="1617"/>
      <c r="P1013" s="1617"/>
      <c r="Q1013" s="1617"/>
      <c r="R1013" s="1617"/>
      <c r="S1013" s="1617"/>
      <c r="T1013" s="1617"/>
      <c r="U1013" s="1617"/>
      <c r="V1013" s="1617"/>
      <c r="W1013" s="1617"/>
      <c r="X1013" s="1617"/>
      <c r="Y1013" s="1617"/>
      <c r="Z1013" s="1617"/>
      <c r="AA1013" s="1617"/>
      <c r="AB1013" s="1617"/>
      <c r="AC1013" s="1617"/>
      <c r="AD1013" s="1617"/>
      <c r="AE1013" s="1618"/>
      <c r="AF1013" s="73"/>
      <c r="AG1013" s="14"/>
      <c r="AH1013" s="14"/>
      <c r="AI1013" s="83"/>
      <c r="AJ1013" s="1374"/>
      <c r="AK1013" s="1375"/>
      <c r="AL1013" s="1375"/>
      <c r="AM1013" s="1375"/>
      <c r="AN1013" s="1375"/>
      <c r="AO1013" s="1375"/>
      <c r="AP1013" s="1375"/>
      <c r="AQ1013" s="1376"/>
      <c r="AR1013" s="68"/>
      <c r="AS1013" s="68"/>
      <c r="AT1013" s="68"/>
      <c r="AU1013" s="68"/>
      <c r="AV1013" s="68"/>
      <c r="AW1013" s="68"/>
      <c r="AX1013" s="68"/>
      <c r="AY1013" s="14"/>
      <c r="AZ1013" s="34"/>
      <c r="BB1013" s="34"/>
    </row>
    <row r="1014" spans="1:55" ht="12.9" customHeight="1">
      <c r="A1014" s="14"/>
      <c r="B1014" s="257"/>
      <c r="C1014" s="82"/>
      <c r="D1014" s="1616"/>
      <c r="E1014" s="1617"/>
      <c r="F1014" s="1617"/>
      <c r="G1014" s="1617"/>
      <c r="H1014" s="1617"/>
      <c r="I1014" s="1617"/>
      <c r="J1014" s="1617"/>
      <c r="K1014" s="1617"/>
      <c r="L1014" s="1617"/>
      <c r="M1014" s="1617"/>
      <c r="N1014" s="1617"/>
      <c r="O1014" s="1617"/>
      <c r="P1014" s="1617"/>
      <c r="Q1014" s="1617"/>
      <c r="R1014" s="1617"/>
      <c r="S1014" s="1617"/>
      <c r="T1014" s="1617"/>
      <c r="U1014" s="1617"/>
      <c r="V1014" s="1617"/>
      <c r="W1014" s="1617"/>
      <c r="X1014" s="1617"/>
      <c r="Y1014" s="1617"/>
      <c r="Z1014" s="1617"/>
      <c r="AA1014" s="1617"/>
      <c r="AB1014" s="1617"/>
      <c r="AC1014" s="1617"/>
      <c r="AD1014" s="1617"/>
      <c r="AE1014" s="1618"/>
      <c r="AF1014" s="73"/>
      <c r="AG1014" s="14"/>
      <c r="AH1014" s="14"/>
      <c r="AI1014" s="83"/>
      <c r="AJ1014" s="1374"/>
      <c r="AK1014" s="1375"/>
      <c r="AL1014" s="1375"/>
      <c r="AM1014" s="1375"/>
      <c r="AN1014" s="1375"/>
      <c r="AO1014" s="1375"/>
      <c r="AP1014" s="1375"/>
      <c r="AQ1014" s="1376"/>
      <c r="AR1014" s="68"/>
      <c r="AS1014" s="68"/>
      <c r="AT1014" s="68"/>
      <c r="AU1014" s="68"/>
      <c r="AV1014" s="68"/>
      <c r="AW1014" s="68"/>
      <c r="AX1014" s="68"/>
      <c r="AY1014" s="909">
        <f>ROUNDDOWN(X1057/I1057,2)</f>
        <v>0.49</v>
      </c>
      <c r="AZ1014" s="34"/>
      <c r="BB1014" s="34"/>
    </row>
    <row r="1015" spans="1:55" ht="12.9" customHeight="1">
      <c r="A1015" s="14"/>
      <c r="B1015" s="75"/>
      <c r="C1015" s="76"/>
      <c r="D1015" s="1619"/>
      <c r="E1015" s="1620"/>
      <c r="F1015" s="1620"/>
      <c r="G1015" s="1620"/>
      <c r="H1015" s="1620"/>
      <c r="I1015" s="1620"/>
      <c r="J1015" s="1620"/>
      <c r="K1015" s="1620"/>
      <c r="L1015" s="1620"/>
      <c r="M1015" s="1620"/>
      <c r="N1015" s="1620"/>
      <c r="O1015" s="1620"/>
      <c r="P1015" s="1620"/>
      <c r="Q1015" s="1620"/>
      <c r="R1015" s="1620"/>
      <c r="S1015" s="1620"/>
      <c r="T1015" s="1620"/>
      <c r="U1015" s="1620"/>
      <c r="V1015" s="1620"/>
      <c r="W1015" s="1620"/>
      <c r="X1015" s="1620"/>
      <c r="Y1015" s="1620"/>
      <c r="Z1015" s="1620"/>
      <c r="AA1015" s="1620"/>
      <c r="AB1015" s="1620"/>
      <c r="AC1015" s="1620"/>
      <c r="AD1015" s="1620"/>
      <c r="AE1015" s="1621"/>
      <c r="AF1015" s="77"/>
      <c r="AG1015" s="7"/>
      <c r="AH1015" s="7"/>
      <c r="AI1015" s="78"/>
      <c r="AJ1015" s="1377"/>
      <c r="AK1015" s="1378"/>
      <c r="AL1015" s="1378"/>
      <c r="AM1015" s="1378"/>
      <c r="AN1015" s="1378"/>
      <c r="AO1015" s="1378"/>
      <c r="AP1015" s="1378"/>
      <c r="AQ1015" s="1379"/>
      <c r="AR1015" s="68"/>
      <c r="AS1015" s="68"/>
      <c r="AT1015" s="68"/>
      <c r="AU1015" s="68"/>
      <c r="AV1015" s="68"/>
      <c r="AW1015" s="68"/>
      <c r="AX1015" s="68"/>
      <c r="AY1015" s="909">
        <f>ROUNDDOWN(X1061/I1061,2)</f>
        <v>0.5</v>
      </c>
      <c r="AZ1015" s="34"/>
      <c r="BB1015" s="34"/>
    </row>
    <row r="1016" spans="1:55" ht="12.9" customHeight="1">
      <c r="A1016" s="14"/>
      <c r="B1016" s="255"/>
      <c r="C1016" s="80" t="s">
        <v>672</v>
      </c>
      <c r="D1016" s="1567" t="s">
        <v>1671</v>
      </c>
      <c r="E1016" s="1568"/>
      <c r="F1016" s="1568"/>
      <c r="G1016" s="1568"/>
      <c r="H1016" s="1568"/>
      <c r="I1016" s="1568"/>
      <c r="J1016" s="1568"/>
      <c r="K1016" s="1568"/>
      <c r="L1016" s="1568"/>
      <c r="M1016" s="1568"/>
      <c r="N1016" s="1568"/>
      <c r="O1016" s="1568"/>
      <c r="P1016" s="1568"/>
      <c r="Q1016" s="1568"/>
      <c r="R1016" s="1568"/>
      <c r="S1016" s="1568"/>
      <c r="T1016" s="1568"/>
      <c r="U1016" s="1568"/>
      <c r="V1016" s="1568"/>
      <c r="W1016" s="1568"/>
      <c r="X1016" s="1568"/>
      <c r="Y1016" s="1568"/>
      <c r="Z1016" s="1568"/>
      <c r="AA1016" s="1568"/>
      <c r="AB1016" s="1568"/>
      <c r="AC1016" s="1568"/>
      <c r="AD1016" s="1568"/>
      <c r="AE1016" s="1569"/>
      <c r="AF1016" s="86"/>
      <c r="AG1016" s="1585" t="s">
        <v>545</v>
      </c>
      <c r="AH1016" s="1580"/>
      <c r="AI1016" s="87"/>
      <c r="AJ1016" s="1371">
        <f>ROUND(IF(AG1016="yes",AJ1001*0.1,0),0)</f>
        <v>4592907</v>
      </c>
      <c r="AK1016" s="1372"/>
      <c r="AL1016" s="1372"/>
      <c r="AM1016" s="1372"/>
      <c r="AN1016" s="1372"/>
      <c r="AO1016" s="1372"/>
      <c r="AP1016" s="1372"/>
      <c r="AQ1016" s="1373"/>
      <c r="AR1016" s="68"/>
      <c r="AS1016" s="68"/>
      <c r="AT1016" s="68"/>
      <c r="AU1016" s="68"/>
      <c r="AV1016" s="68"/>
      <c r="AW1016" s="68"/>
      <c r="AX1016" s="68"/>
      <c r="BB1016" s="34"/>
    </row>
    <row r="1017" spans="1:55" ht="12.9" customHeight="1">
      <c r="A1017" s="14"/>
      <c r="B1017" s="73"/>
      <c r="C1017" s="74"/>
      <c r="D1017" s="1570" t="s">
        <v>1284</v>
      </c>
      <c r="E1017" s="1571"/>
      <c r="F1017" s="1571"/>
      <c r="G1017" s="1571"/>
      <c r="H1017" s="1571"/>
      <c r="I1017" s="1571"/>
      <c r="J1017" s="1571"/>
      <c r="K1017" s="1571"/>
      <c r="L1017" s="1571"/>
      <c r="M1017" s="1571"/>
      <c r="N1017" s="1571"/>
      <c r="O1017" s="1571"/>
      <c r="P1017" s="1571"/>
      <c r="Q1017" s="1571"/>
      <c r="R1017" s="1571"/>
      <c r="S1017" s="1571"/>
      <c r="T1017" s="1571"/>
      <c r="U1017" s="1571"/>
      <c r="V1017" s="1571"/>
      <c r="W1017" s="1571"/>
      <c r="X1017" s="1571"/>
      <c r="Y1017" s="1571"/>
      <c r="Z1017" s="1571"/>
      <c r="AA1017" s="1571"/>
      <c r="AB1017" s="1571"/>
      <c r="AC1017" s="1571"/>
      <c r="AD1017" s="1571"/>
      <c r="AE1017" s="1572"/>
      <c r="AF1017" s="73"/>
      <c r="AI1017" s="83"/>
      <c r="AJ1017" s="1374"/>
      <c r="AK1017" s="1375"/>
      <c r="AL1017" s="1375"/>
      <c r="AM1017" s="1375"/>
      <c r="AN1017" s="1375"/>
      <c r="AO1017" s="1375"/>
      <c r="AP1017" s="1375"/>
      <c r="AQ1017" s="1376"/>
      <c r="AR1017" s="68"/>
      <c r="AS1017" s="68"/>
      <c r="AT1017" s="68"/>
      <c r="AU1017" s="68"/>
      <c r="AV1017" s="68"/>
      <c r="AW1017" s="68"/>
      <c r="AX1017" s="68"/>
    </row>
    <row r="1018" spans="1:55" ht="12.9" customHeight="1">
      <c r="A1018" s="14"/>
      <c r="B1018" s="73"/>
      <c r="C1018" s="74"/>
      <c r="D1018" s="1570"/>
      <c r="E1018" s="1571"/>
      <c r="F1018" s="1571"/>
      <c r="G1018" s="1571"/>
      <c r="H1018" s="1571"/>
      <c r="I1018" s="1571"/>
      <c r="J1018" s="1571"/>
      <c r="K1018" s="1571"/>
      <c r="L1018" s="1571"/>
      <c r="M1018" s="1571"/>
      <c r="N1018" s="1571"/>
      <c r="O1018" s="1571"/>
      <c r="P1018" s="1571"/>
      <c r="Q1018" s="1571"/>
      <c r="R1018" s="1571"/>
      <c r="S1018" s="1571"/>
      <c r="T1018" s="1571"/>
      <c r="U1018" s="1571"/>
      <c r="V1018" s="1571"/>
      <c r="W1018" s="1571"/>
      <c r="X1018" s="1571"/>
      <c r="Y1018" s="1571"/>
      <c r="Z1018" s="1571"/>
      <c r="AA1018" s="1571"/>
      <c r="AB1018" s="1571"/>
      <c r="AC1018" s="1571"/>
      <c r="AD1018" s="1571"/>
      <c r="AE1018" s="1572"/>
      <c r="AF1018" s="73"/>
      <c r="AG1018" s="14"/>
      <c r="AH1018" s="14"/>
      <c r="AI1018" s="83"/>
      <c r="AJ1018" s="1374"/>
      <c r="AK1018" s="1375"/>
      <c r="AL1018" s="1375"/>
      <c r="AM1018" s="1375"/>
      <c r="AN1018" s="1375"/>
      <c r="AO1018" s="1375"/>
      <c r="AP1018" s="1375"/>
      <c r="AQ1018" s="1376"/>
      <c r="AR1018" s="68"/>
      <c r="AS1018" s="68"/>
      <c r="AT1018" s="68"/>
      <c r="AU1018" s="68"/>
      <c r="AV1018" s="68"/>
      <c r="AW1018" s="68"/>
      <c r="AX1018" s="68"/>
    </row>
    <row r="1019" spans="1:55" ht="12.9" customHeight="1">
      <c r="A1019" s="14"/>
      <c r="B1019" s="85"/>
      <c r="C1019" s="76"/>
      <c r="D1019" s="1589"/>
      <c r="E1019" s="1590"/>
      <c r="F1019" s="1590"/>
      <c r="G1019" s="1590"/>
      <c r="H1019" s="1590"/>
      <c r="I1019" s="1590"/>
      <c r="J1019" s="1590"/>
      <c r="K1019" s="1590"/>
      <c r="L1019" s="1590"/>
      <c r="M1019" s="1590"/>
      <c r="N1019" s="1590"/>
      <c r="O1019" s="1590"/>
      <c r="P1019" s="1590"/>
      <c r="Q1019" s="1590"/>
      <c r="R1019" s="1590"/>
      <c r="S1019" s="1590"/>
      <c r="T1019" s="1590"/>
      <c r="U1019" s="1590"/>
      <c r="V1019" s="1590"/>
      <c r="W1019" s="1590"/>
      <c r="X1019" s="1590"/>
      <c r="Y1019" s="1590"/>
      <c r="Z1019" s="1590"/>
      <c r="AA1019" s="1590"/>
      <c r="AB1019" s="1590"/>
      <c r="AC1019" s="1590"/>
      <c r="AD1019" s="1590"/>
      <c r="AE1019" s="1591"/>
      <c r="AF1019" s="77"/>
      <c r="AG1019" s="7"/>
      <c r="AH1019" s="7"/>
      <c r="AI1019" s="78"/>
      <c r="AJ1019" s="1377"/>
      <c r="AK1019" s="1378"/>
      <c r="AL1019" s="1378"/>
      <c r="AM1019" s="1378"/>
      <c r="AN1019" s="1378"/>
      <c r="AO1019" s="1378"/>
      <c r="AP1019" s="1378"/>
      <c r="AQ1019" s="1379"/>
      <c r="AR1019" s="68"/>
      <c r="AS1019" s="68"/>
      <c r="AT1019" s="68"/>
      <c r="AU1019" s="68"/>
      <c r="AV1019" s="68"/>
      <c r="AW1019" s="68"/>
      <c r="AX1019" s="68"/>
    </row>
    <row r="1020" spans="1:55" ht="12.9" customHeight="1">
      <c r="A1020" s="14"/>
      <c r="B1020" s="79"/>
      <c r="C1020" s="80" t="s">
        <v>212</v>
      </c>
      <c r="D1020" s="1567" t="s">
        <v>1286</v>
      </c>
      <c r="E1020" s="1568"/>
      <c r="F1020" s="1568"/>
      <c r="G1020" s="1568"/>
      <c r="H1020" s="1568"/>
      <c r="I1020" s="1568"/>
      <c r="J1020" s="1568"/>
      <c r="K1020" s="1568"/>
      <c r="L1020" s="1568"/>
      <c r="M1020" s="1568"/>
      <c r="N1020" s="1568"/>
      <c r="O1020" s="1568"/>
      <c r="P1020" s="1568"/>
      <c r="Q1020" s="1568"/>
      <c r="R1020" s="1568"/>
      <c r="S1020" s="1568"/>
      <c r="T1020" s="1568"/>
      <c r="U1020" s="1568"/>
      <c r="V1020" s="1568"/>
      <c r="W1020" s="1568"/>
      <c r="X1020" s="1568"/>
      <c r="Y1020" s="1568"/>
      <c r="Z1020" s="1568"/>
      <c r="AA1020" s="1568"/>
      <c r="AB1020" s="1568"/>
      <c r="AC1020" s="1568"/>
      <c r="AD1020" s="1568"/>
      <c r="AE1020" s="1569"/>
      <c r="AF1020" s="79"/>
      <c r="AG1020" s="1585" t="s">
        <v>669</v>
      </c>
      <c r="AH1020" s="1580"/>
      <c r="AI1020" s="87"/>
      <c r="AJ1020" s="1371">
        <f>ROUND(IF(AG1020="yes",AJ1001*0.02,0),0)</f>
        <v>0</v>
      </c>
      <c r="AK1020" s="1372"/>
      <c r="AL1020" s="1372"/>
      <c r="AM1020" s="1372"/>
      <c r="AN1020" s="1372"/>
      <c r="AO1020" s="1372"/>
      <c r="AP1020" s="1372"/>
      <c r="AQ1020" s="1373"/>
      <c r="AR1020" s="68"/>
      <c r="AS1020" s="68"/>
      <c r="AT1020" s="68"/>
      <c r="AU1020" s="68"/>
      <c r="AV1020" s="68"/>
      <c r="AW1020" s="68"/>
      <c r="AX1020" s="68"/>
    </row>
    <row r="1021" spans="1:55" ht="14.25" customHeight="1">
      <c r="A1021" s="14"/>
      <c r="B1021" s="73"/>
      <c r="C1021" s="74"/>
      <c r="D1021" s="1589" t="s">
        <v>1287</v>
      </c>
      <c r="E1021" s="1590"/>
      <c r="F1021" s="1590"/>
      <c r="G1021" s="1590"/>
      <c r="H1021" s="1590"/>
      <c r="I1021" s="1590"/>
      <c r="J1021" s="1590"/>
      <c r="K1021" s="1590"/>
      <c r="L1021" s="1590"/>
      <c r="M1021" s="1590"/>
      <c r="N1021" s="1590"/>
      <c r="O1021" s="1590"/>
      <c r="P1021" s="1590"/>
      <c r="Q1021" s="1590"/>
      <c r="R1021" s="1590"/>
      <c r="S1021" s="1590"/>
      <c r="T1021" s="1590"/>
      <c r="U1021" s="1590"/>
      <c r="V1021" s="1590"/>
      <c r="W1021" s="1590"/>
      <c r="X1021" s="1590"/>
      <c r="Y1021" s="1590"/>
      <c r="Z1021" s="1590"/>
      <c r="AA1021" s="1590"/>
      <c r="AB1021" s="1590"/>
      <c r="AC1021" s="1590"/>
      <c r="AD1021" s="1590"/>
      <c r="AE1021" s="1591"/>
      <c r="AF1021" s="77"/>
      <c r="AG1021" s="7"/>
      <c r="AH1021" s="7"/>
      <c r="AI1021" s="78"/>
      <c r="AJ1021" s="1377"/>
      <c r="AK1021" s="1378"/>
      <c r="AL1021" s="1378"/>
      <c r="AM1021" s="1378"/>
      <c r="AN1021" s="1378"/>
      <c r="AO1021" s="1378"/>
      <c r="AP1021" s="1378"/>
      <c r="AQ1021" s="1379"/>
      <c r="AR1021" s="68"/>
      <c r="AS1021" s="68"/>
      <c r="AT1021" s="68"/>
      <c r="AU1021" s="68"/>
      <c r="AV1021" s="68"/>
      <c r="AW1021" s="68"/>
      <c r="AX1021" s="3" t="s">
        <v>1816</v>
      </c>
      <c r="AZ1021" s="3" t="s">
        <v>2530</v>
      </c>
    </row>
    <row r="1022" spans="1:55" ht="12.9" customHeight="1">
      <c r="A1022" s="14"/>
      <c r="B1022" s="79"/>
      <c r="C1022" s="80" t="s">
        <v>215</v>
      </c>
      <c r="D1022" s="1567" t="s">
        <v>1288</v>
      </c>
      <c r="E1022" s="1568"/>
      <c r="F1022" s="1568"/>
      <c r="G1022" s="1568"/>
      <c r="H1022" s="1568"/>
      <c r="I1022" s="1568"/>
      <c r="J1022" s="1568"/>
      <c r="K1022" s="1568"/>
      <c r="L1022" s="1568"/>
      <c r="M1022" s="1568"/>
      <c r="N1022" s="1568"/>
      <c r="O1022" s="1568"/>
      <c r="P1022" s="1568"/>
      <c r="Q1022" s="1568"/>
      <c r="R1022" s="1568"/>
      <c r="S1022" s="1568"/>
      <c r="T1022" s="1568"/>
      <c r="U1022" s="1568"/>
      <c r="V1022" s="1568"/>
      <c r="W1022" s="1568"/>
      <c r="X1022" s="1568"/>
      <c r="Y1022" s="1568"/>
      <c r="Z1022" s="1568"/>
      <c r="AA1022" s="1568"/>
      <c r="AB1022" s="1568"/>
      <c r="AC1022" s="1568"/>
      <c r="AD1022" s="1568"/>
      <c r="AE1022" s="1569"/>
      <c r="AF1022" s="79"/>
      <c r="AG1022" s="1585" t="s">
        <v>545</v>
      </c>
      <c r="AH1022" s="1580"/>
      <c r="AI1022" s="79"/>
      <c r="AJ1022" s="1371">
        <f>ROUND(IF(AG1022="yes",AJ1001*0.02,0),0)</f>
        <v>918581</v>
      </c>
      <c r="AK1022" s="1372"/>
      <c r="AL1022" s="1372"/>
      <c r="AM1022" s="1372"/>
      <c r="AN1022" s="1372"/>
      <c r="AO1022" s="1372"/>
      <c r="AP1022" s="1372"/>
      <c r="AQ1022" s="1373"/>
      <c r="AR1022" s="68"/>
      <c r="AS1022" s="68"/>
      <c r="AT1022" s="68"/>
      <c r="AU1022" s="68"/>
      <c r="AV1022" s="68"/>
      <c r="AW1022" s="68"/>
      <c r="AX1022" s="3">
        <v>1</v>
      </c>
      <c r="AY1022" s="200">
        <f>IF((_xlfn.XLOOKUP(AX1022,$C$1074:$C$1112,$A$1074:$A$1112,"",0,1))="Yes",AZ1022,0)</f>
        <v>0.2</v>
      </c>
      <c r="AZ1022" s="1189">
        <v>0.2</v>
      </c>
    </row>
    <row r="1023" spans="1:55" ht="12.9" customHeight="1">
      <c r="A1023" s="14"/>
      <c r="B1023" s="73"/>
      <c r="C1023" s="74"/>
      <c r="D1023" s="1570" t="s">
        <v>1289</v>
      </c>
      <c r="E1023" s="1571"/>
      <c r="F1023" s="1571"/>
      <c r="G1023" s="1571"/>
      <c r="H1023" s="1571"/>
      <c r="I1023" s="1571"/>
      <c r="J1023" s="1571"/>
      <c r="K1023" s="1571"/>
      <c r="L1023" s="1571"/>
      <c r="M1023" s="1571"/>
      <c r="N1023" s="1571"/>
      <c r="O1023" s="1571"/>
      <c r="P1023" s="1571"/>
      <c r="Q1023" s="1571"/>
      <c r="R1023" s="1571"/>
      <c r="S1023" s="1571"/>
      <c r="T1023" s="1571"/>
      <c r="U1023" s="1571"/>
      <c r="V1023" s="1571"/>
      <c r="W1023" s="1571"/>
      <c r="X1023" s="1571"/>
      <c r="Y1023" s="1571"/>
      <c r="Z1023" s="1571"/>
      <c r="AA1023" s="1571"/>
      <c r="AB1023" s="1571"/>
      <c r="AC1023" s="1571"/>
      <c r="AD1023" s="1571"/>
      <c r="AE1023" s="1572"/>
      <c r="AF1023" s="1355" t="str">
        <f>IF(AND(AG1022="yes",T212&lt;&gt;1),"The project may not be eligible for this boost","")</f>
        <v/>
      </c>
      <c r="AG1023" s="1356"/>
      <c r="AH1023" s="1356"/>
      <c r="AI1023" s="1357"/>
      <c r="AJ1023" s="1374"/>
      <c r="AK1023" s="1375"/>
      <c r="AL1023" s="1375"/>
      <c r="AM1023" s="1375"/>
      <c r="AN1023" s="1375"/>
      <c r="AO1023" s="1375"/>
      <c r="AP1023" s="1375"/>
      <c r="AQ1023" s="1376"/>
      <c r="AR1023" s="68"/>
      <c r="AS1023" s="68"/>
      <c r="AT1023" s="68"/>
      <c r="AU1023" s="68"/>
      <c r="AV1023" s="68"/>
      <c r="AW1023" s="68"/>
      <c r="AX1023" s="3">
        <v>2</v>
      </c>
      <c r="AY1023" s="200">
        <f t="shared" ref="AY1023:AY1032" si="56">IF((_xlfn.XLOOKUP(AX1023,$C$1074:$C$1112,$A$1074:$A$1112,"",0,1))="Yes",AZ1023,0)</f>
        <v>0</v>
      </c>
      <c r="AZ1023" s="1189">
        <v>0.15</v>
      </c>
    </row>
    <row r="1024" spans="1:55" ht="12.9" customHeight="1">
      <c r="A1024" s="14"/>
      <c r="B1024" s="75"/>
      <c r="C1024" s="76"/>
      <c r="D1024" s="1589"/>
      <c r="E1024" s="1590"/>
      <c r="F1024" s="1590"/>
      <c r="G1024" s="1590"/>
      <c r="H1024" s="1590"/>
      <c r="I1024" s="1590"/>
      <c r="J1024" s="1590"/>
      <c r="K1024" s="1590"/>
      <c r="L1024" s="1590"/>
      <c r="M1024" s="1590"/>
      <c r="N1024" s="1590"/>
      <c r="O1024" s="1590"/>
      <c r="P1024" s="1590"/>
      <c r="Q1024" s="1590"/>
      <c r="R1024" s="1590"/>
      <c r="S1024" s="1590"/>
      <c r="T1024" s="1590"/>
      <c r="U1024" s="1590"/>
      <c r="V1024" s="1590"/>
      <c r="W1024" s="1590"/>
      <c r="X1024" s="1590"/>
      <c r="Y1024" s="1590"/>
      <c r="Z1024" s="1590"/>
      <c r="AA1024" s="1590"/>
      <c r="AB1024" s="1590"/>
      <c r="AC1024" s="1590"/>
      <c r="AD1024" s="1590"/>
      <c r="AE1024" s="1591"/>
      <c r="AF1024" s="1358"/>
      <c r="AG1024" s="1359"/>
      <c r="AH1024" s="1359"/>
      <c r="AI1024" s="1360"/>
      <c r="AJ1024" s="1377"/>
      <c r="AK1024" s="1378"/>
      <c r="AL1024" s="1378"/>
      <c r="AM1024" s="1378"/>
      <c r="AN1024" s="1378"/>
      <c r="AO1024" s="1378"/>
      <c r="AP1024" s="1378"/>
      <c r="AQ1024" s="1379"/>
      <c r="AR1024" s="68"/>
      <c r="AS1024" s="68"/>
      <c r="AT1024" s="68"/>
      <c r="AU1024" s="68"/>
      <c r="AV1024" s="68"/>
      <c r="AW1024" s="68"/>
      <c r="AX1024" s="3">
        <v>3</v>
      </c>
      <c r="AY1024" s="200">
        <f t="shared" si="56"/>
        <v>0</v>
      </c>
      <c r="AZ1024" s="1189">
        <v>0.05</v>
      </c>
    </row>
    <row r="1025" spans="1:52" ht="12.9" customHeight="1">
      <c r="A1025" s="14"/>
      <c r="B1025" s="79"/>
      <c r="C1025" s="80" t="s">
        <v>218</v>
      </c>
      <c r="D1025" s="1586" t="s">
        <v>2188</v>
      </c>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8"/>
      <c r="AF1025" s="79"/>
      <c r="AG1025" s="1585" t="s">
        <v>669</v>
      </c>
      <c r="AH1025" s="1580"/>
      <c r="AI1025" s="87"/>
      <c r="AJ1025" s="1371">
        <f>IF(AG1025="yes",AJ1001*AY1033,0)</f>
        <v>0</v>
      </c>
      <c r="AK1025" s="1372"/>
      <c r="AL1025" s="1372"/>
      <c r="AM1025" s="1372"/>
      <c r="AN1025" s="1372"/>
      <c r="AO1025" s="1372"/>
      <c r="AP1025" s="1372"/>
      <c r="AQ1025" s="1373"/>
      <c r="AR1025" s="68"/>
      <c r="AS1025" s="68"/>
      <c r="AT1025" s="68"/>
      <c r="AU1025" s="68"/>
      <c r="AV1025" s="68"/>
      <c r="AW1025" s="68"/>
      <c r="AX1025" s="3">
        <v>4</v>
      </c>
      <c r="AY1025" s="200">
        <f t="shared" si="56"/>
        <v>0</v>
      </c>
      <c r="AZ1025" s="1189">
        <v>0.02</v>
      </c>
    </row>
    <row r="1026" spans="1:52" ht="12.9" customHeight="1">
      <c r="A1026" s="14"/>
      <c r="B1026" s="73"/>
      <c r="C1026" s="74"/>
      <c r="D1026" s="1570" t="s">
        <v>2592</v>
      </c>
      <c r="E1026" s="1571"/>
      <c r="F1026" s="1571"/>
      <c r="G1026" s="1571"/>
      <c r="H1026" s="1571"/>
      <c r="I1026" s="1571"/>
      <c r="J1026" s="1571"/>
      <c r="K1026" s="1571"/>
      <c r="L1026" s="1571"/>
      <c r="M1026" s="1571"/>
      <c r="N1026" s="1571"/>
      <c r="O1026" s="1571"/>
      <c r="P1026" s="1571"/>
      <c r="Q1026" s="1571"/>
      <c r="R1026" s="1571"/>
      <c r="S1026" s="1571"/>
      <c r="T1026" s="1571"/>
      <c r="U1026" s="1571"/>
      <c r="V1026" s="1571"/>
      <c r="W1026" s="1571"/>
      <c r="X1026" s="1571"/>
      <c r="Y1026" s="1571"/>
      <c r="Z1026" s="1571"/>
      <c r="AA1026" s="1571"/>
      <c r="AB1026" s="1571"/>
      <c r="AC1026" s="1571"/>
      <c r="AD1026" s="1571"/>
      <c r="AE1026" s="1572"/>
      <c r="AF1026" s="1349" t="str">
        <f>IF(AND(AG1025="Yes",AY1033=0),AY1036,"")</f>
        <v/>
      </c>
      <c r="AG1026" s="1350"/>
      <c r="AH1026" s="1350"/>
      <c r="AI1026" s="1351"/>
      <c r="AJ1026" s="1374"/>
      <c r="AK1026" s="1375"/>
      <c r="AL1026" s="1375"/>
      <c r="AM1026" s="1375"/>
      <c r="AN1026" s="1375"/>
      <c r="AO1026" s="1375"/>
      <c r="AP1026" s="1375"/>
      <c r="AQ1026" s="1376"/>
      <c r="AR1026" s="68"/>
      <c r="AS1026" s="68"/>
      <c r="AT1026" s="68"/>
      <c r="AU1026" s="68"/>
      <c r="AV1026" s="68"/>
      <c r="AW1026" s="68"/>
      <c r="AX1026" s="3">
        <v>5</v>
      </c>
      <c r="AY1026" s="200">
        <f t="shared" si="56"/>
        <v>0</v>
      </c>
      <c r="AZ1026" s="1189">
        <v>0.04</v>
      </c>
    </row>
    <row r="1027" spans="1:52" ht="12.9" customHeight="1">
      <c r="A1027" s="14"/>
      <c r="B1027" s="73"/>
      <c r="C1027" s="74"/>
      <c r="D1027" s="1570"/>
      <c r="E1027" s="1571"/>
      <c r="F1027" s="1571"/>
      <c r="G1027" s="1571"/>
      <c r="H1027" s="1571"/>
      <c r="I1027" s="1571"/>
      <c r="J1027" s="1571"/>
      <c r="K1027" s="1571"/>
      <c r="L1027" s="1571"/>
      <c r="M1027" s="1571"/>
      <c r="N1027" s="1571"/>
      <c r="O1027" s="1571"/>
      <c r="P1027" s="1571"/>
      <c r="Q1027" s="1571"/>
      <c r="R1027" s="1571"/>
      <c r="S1027" s="1571"/>
      <c r="T1027" s="1571"/>
      <c r="U1027" s="1571"/>
      <c r="V1027" s="1571"/>
      <c r="W1027" s="1571"/>
      <c r="X1027" s="1571"/>
      <c r="Y1027" s="1571"/>
      <c r="Z1027" s="1571"/>
      <c r="AA1027" s="1571"/>
      <c r="AB1027" s="1571"/>
      <c r="AC1027" s="1571"/>
      <c r="AD1027" s="1571"/>
      <c r="AE1027" s="1572"/>
      <c r="AF1027" s="1349"/>
      <c r="AG1027" s="1350"/>
      <c r="AH1027" s="1350"/>
      <c r="AI1027" s="1351"/>
      <c r="AJ1027" s="1374"/>
      <c r="AK1027" s="1375"/>
      <c r="AL1027" s="1375"/>
      <c r="AM1027" s="1375"/>
      <c r="AN1027" s="1375"/>
      <c r="AO1027" s="1375"/>
      <c r="AP1027" s="1375"/>
      <c r="AQ1027" s="1376"/>
      <c r="AR1027" s="68"/>
      <c r="AS1027" s="68"/>
      <c r="AT1027" s="68"/>
      <c r="AU1027" s="68"/>
      <c r="AV1027" s="68"/>
      <c r="AW1027" s="68"/>
      <c r="AX1027" s="3">
        <v>6</v>
      </c>
      <c r="AY1027" s="200">
        <f t="shared" si="56"/>
        <v>0</v>
      </c>
      <c r="AZ1027" s="1189">
        <v>0.04</v>
      </c>
    </row>
    <row r="1028" spans="1:52" ht="12.9" customHeight="1">
      <c r="A1028" s="14"/>
      <c r="B1028" s="81"/>
      <c r="C1028" s="82"/>
      <c r="D1028" s="1589"/>
      <c r="E1028" s="1590"/>
      <c r="F1028" s="1590"/>
      <c r="G1028" s="1590"/>
      <c r="H1028" s="1590"/>
      <c r="I1028" s="1590"/>
      <c r="J1028" s="1590"/>
      <c r="K1028" s="1590"/>
      <c r="L1028" s="1590"/>
      <c r="M1028" s="1590"/>
      <c r="N1028" s="1590"/>
      <c r="O1028" s="1590"/>
      <c r="P1028" s="1590"/>
      <c r="Q1028" s="1590"/>
      <c r="R1028" s="1590"/>
      <c r="S1028" s="1590"/>
      <c r="T1028" s="1590"/>
      <c r="U1028" s="1590"/>
      <c r="V1028" s="1590"/>
      <c r="W1028" s="1590"/>
      <c r="X1028" s="1590"/>
      <c r="Y1028" s="1590"/>
      <c r="Z1028" s="1590"/>
      <c r="AA1028" s="1590"/>
      <c r="AB1028" s="1590"/>
      <c r="AC1028" s="1590"/>
      <c r="AD1028" s="1590"/>
      <c r="AE1028" s="1591"/>
      <c r="AF1028" s="1352"/>
      <c r="AG1028" s="1353"/>
      <c r="AH1028" s="1353"/>
      <c r="AI1028" s="1354"/>
      <c r="AJ1028" s="1377"/>
      <c r="AK1028" s="1378"/>
      <c r="AL1028" s="1378"/>
      <c r="AM1028" s="1378"/>
      <c r="AN1028" s="1378"/>
      <c r="AO1028" s="1378"/>
      <c r="AP1028" s="1378"/>
      <c r="AQ1028" s="1379"/>
      <c r="AR1028" s="68"/>
      <c r="AS1028" s="68"/>
      <c r="AT1028" s="68"/>
      <c r="AU1028" s="68"/>
      <c r="AV1028" s="68"/>
      <c r="AW1028" s="68"/>
      <c r="AX1028" s="3">
        <v>7</v>
      </c>
      <c r="AY1028" s="200">
        <f t="shared" si="56"/>
        <v>0</v>
      </c>
      <c r="AZ1028" s="1189">
        <v>0.01</v>
      </c>
    </row>
    <row r="1029" spans="1:52" ht="12.9" customHeight="1">
      <c r="A1029" s="14"/>
      <c r="B1029" s="79"/>
      <c r="C1029" s="80" t="s">
        <v>223</v>
      </c>
      <c r="D1029" s="1630" t="s">
        <v>1290</v>
      </c>
      <c r="E1029" s="1631"/>
      <c r="F1029" s="1631"/>
      <c r="G1029" s="1631"/>
      <c r="H1029" s="1631"/>
      <c r="I1029" s="1631"/>
      <c r="J1029" s="1631"/>
      <c r="K1029" s="1631"/>
      <c r="L1029" s="1631"/>
      <c r="M1029" s="1631"/>
      <c r="N1029" s="1631"/>
      <c r="O1029" s="1631"/>
      <c r="P1029" s="1631"/>
      <c r="Q1029" s="1631"/>
      <c r="R1029" s="1631"/>
      <c r="S1029" s="1631"/>
      <c r="T1029" s="1631"/>
      <c r="U1029" s="1631"/>
      <c r="V1029" s="1631"/>
      <c r="W1029" s="1631"/>
      <c r="X1029" s="1631"/>
      <c r="Y1029" s="1631"/>
      <c r="Z1029" s="1631"/>
      <c r="AA1029" s="1631"/>
      <c r="AB1029" s="1631"/>
      <c r="AC1029" s="1631"/>
      <c r="AD1029" s="1631"/>
      <c r="AE1029" s="1632"/>
      <c r="AF1029" s="79"/>
      <c r="AG1029" s="1585" t="s">
        <v>669</v>
      </c>
      <c r="AH1029" s="1580"/>
      <c r="AI1029" s="87"/>
      <c r="AJ1029" s="1371">
        <f>ROUND(IF(AND(AG1029="Yes",J1033&lt;&gt;"N/A",AF1032&lt;&gt;""),MIN(AF1032,(0.15*AJ1001)),0),0)</f>
        <v>0</v>
      </c>
      <c r="AK1029" s="1372"/>
      <c r="AL1029" s="1372"/>
      <c r="AM1029" s="1372"/>
      <c r="AN1029" s="1372"/>
      <c r="AO1029" s="1372"/>
      <c r="AP1029" s="1372"/>
      <c r="AQ1029" s="1373"/>
      <c r="AR1029" s="68"/>
      <c r="AS1029" s="68"/>
      <c r="AT1029" s="68"/>
      <c r="AU1029" s="68"/>
      <c r="AV1029" s="68"/>
      <c r="AW1029" s="68"/>
      <c r="AX1029" s="3">
        <v>8</v>
      </c>
      <c r="AY1029" s="200">
        <f t="shared" si="56"/>
        <v>0</v>
      </c>
      <c r="AZ1029" s="1189">
        <v>0.01</v>
      </c>
    </row>
    <row r="1030" spans="1:52" ht="12.9" customHeight="1">
      <c r="A1030" s="14"/>
      <c r="B1030" s="81"/>
      <c r="C1030" s="84"/>
      <c r="D1030" s="1633"/>
      <c r="E1030" s="1634"/>
      <c r="F1030" s="1634"/>
      <c r="G1030" s="1634"/>
      <c r="H1030" s="1634"/>
      <c r="I1030" s="1634"/>
      <c r="J1030" s="1634"/>
      <c r="K1030" s="1634"/>
      <c r="L1030" s="1634"/>
      <c r="M1030" s="1634"/>
      <c r="N1030" s="1634"/>
      <c r="O1030" s="1634"/>
      <c r="P1030" s="1634"/>
      <c r="Q1030" s="1634"/>
      <c r="R1030" s="1634"/>
      <c r="S1030" s="1634"/>
      <c r="T1030" s="1634"/>
      <c r="U1030" s="1634"/>
      <c r="V1030" s="1634"/>
      <c r="W1030" s="1634"/>
      <c r="X1030" s="1634"/>
      <c r="Y1030" s="1634"/>
      <c r="Z1030" s="1634"/>
      <c r="AA1030" s="1634"/>
      <c r="AB1030" s="1634"/>
      <c r="AC1030" s="1634"/>
      <c r="AD1030" s="1634"/>
      <c r="AE1030" s="1635"/>
      <c r="AF1030" s="1592" t="str">
        <f>IF(AG1029="yes","Please Select Type and Enter Amount:","")</f>
        <v/>
      </c>
      <c r="AG1030" s="1593"/>
      <c r="AH1030" s="1593"/>
      <c r="AI1030" s="1594"/>
      <c r="AJ1030" s="1374"/>
      <c r="AK1030" s="1375"/>
      <c r="AL1030" s="1375"/>
      <c r="AM1030" s="1375"/>
      <c r="AN1030" s="1375"/>
      <c r="AO1030" s="1375"/>
      <c r="AP1030" s="1375"/>
      <c r="AQ1030" s="1376"/>
      <c r="AR1030" s="68"/>
      <c r="AS1030" s="68"/>
      <c r="AT1030" s="68"/>
      <c r="AU1030" s="68"/>
      <c r="AV1030" s="68"/>
      <c r="AW1030" s="68"/>
      <c r="AX1030" s="3">
        <v>9</v>
      </c>
      <c r="AY1030" s="200">
        <f t="shared" si="56"/>
        <v>0</v>
      </c>
      <c r="AZ1030" s="1189">
        <v>0.01</v>
      </c>
    </row>
    <row r="1031" spans="1:52" ht="12.9" customHeight="1">
      <c r="A1031" s="14"/>
      <c r="B1031" s="81"/>
      <c r="C1031" s="84"/>
      <c r="D1031" s="1570" t="s">
        <v>1291</v>
      </c>
      <c r="E1031" s="1571"/>
      <c r="F1031" s="1571"/>
      <c r="G1031" s="1571"/>
      <c r="H1031" s="1571"/>
      <c r="I1031" s="1571"/>
      <c r="J1031" s="1571"/>
      <c r="K1031" s="1571"/>
      <c r="L1031" s="1571"/>
      <c r="M1031" s="1571"/>
      <c r="N1031" s="1571"/>
      <c r="O1031" s="1571"/>
      <c r="P1031" s="1571"/>
      <c r="Q1031" s="1571"/>
      <c r="R1031" s="1571"/>
      <c r="S1031" s="1571"/>
      <c r="T1031" s="1571"/>
      <c r="U1031" s="1571"/>
      <c r="V1031" s="1571"/>
      <c r="W1031" s="1571"/>
      <c r="X1031" s="1571"/>
      <c r="Y1031" s="1571"/>
      <c r="Z1031" s="1571"/>
      <c r="AA1031" s="1571"/>
      <c r="AB1031" s="1571"/>
      <c r="AC1031" s="1571"/>
      <c r="AD1031" s="1571"/>
      <c r="AE1031" s="1572"/>
      <c r="AF1031" s="1592"/>
      <c r="AG1031" s="1593"/>
      <c r="AH1031" s="1593"/>
      <c r="AI1031" s="1594"/>
      <c r="AJ1031" s="1374"/>
      <c r="AK1031" s="1375"/>
      <c r="AL1031" s="1375"/>
      <c r="AM1031" s="1375"/>
      <c r="AN1031" s="1375"/>
      <c r="AO1031" s="1375"/>
      <c r="AP1031" s="1375"/>
      <c r="AQ1031" s="1376"/>
      <c r="AR1031" s="68"/>
      <c r="AS1031" s="68"/>
      <c r="AT1031" s="68"/>
      <c r="AU1031" s="68"/>
      <c r="AV1031" s="68"/>
      <c r="AW1031" s="68"/>
      <c r="AX1031" s="3">
        <v>10</v>
      </c>
      <c r="AY1031" s="200">
        <f t="shared" si="56"/>
        <v>0</v>
      </c>
      <c r="AZ1031" s="1189">
        <v>0.02</v>
      </c>
    </row>
    <row r="1032" spans="1:52" ht="12.9" customHeight="1">
      <c r="A1032" s="14"/>
      <c r="B1032" s="81"/>
      <c r="C1032" s="84"/>
      <c r="D1032" s="1570"/>
      <c r="E1032" s="1571"/>
      <c r="F1032" s="1571"/>
      <c r="G1032" s="1571"/>
      <c r="H1032" s="1571"/>
      <c r="I1032" s="1571"/>
      <c r="J1032" s="1571"/>
      <c r="K1032" s="1571"/>
      <c r="L1032" s="1571"/>
      <c r="M1032" s="1571"/>
      <c r="N1032" s="1571"/>
      <c r="O1032" s="1571"/>
      <c r="P1032" s="1571"/>
      <c r="Q1032" s="1571"/>
      <c r="R1032" s="1571"/>
      <c r="S1032" s="1571"/>
      <c r="T1032" s="1571"/>
      <c r="U1032" s="1571"/>
      <c r="V1032" s="1571"/>
      <c r="W1032" s="1571"/>
      <c r="X1032" s="1571"/>
      <c r="Y1032" s="1571"/>
      <c r="Z1032" s="1571"/>
      <c r="AA1032" s="1571"/>
      <c r="AB1032" s="1571"/>
      <c r="AC1032" s="1571"/>
      <c r="AD1032" s="1571"/>
      <c r="AE1032" s="1572"/>
      <c r="AF1032" s="1581"/>
      <c r="AG1032" s="1581"/>
      <c r="AH1032" s="1581"/>
      <c r="AI1032" s="1581"/>
      <c r="AJ1032" s="1374"/>
      <c r="AK1032" s="1375"/>
      <c r="AL1032" s="1375"/>
      <c r="AM1032" s="1375"/>
      <c r="AN1032" s="1375"/>
      <c r="AO1032" s="1375"/>
      <c r="AP1032" s="1375"/>
      <c r="AQ1032" s="1376"/>
      <c r="AR1032" s="68"/>
      <c r="AS1032" s="68"/>
      <c r="AT1032" s="68"/>
      <c r="AU1032" s="68"/>
      <c r="AV1032" s="68"/>
      <c r="AW1032" s="68"/>
      <c r="AX1032" s="3">
        <v>11</v>
      </c>
      <c r="AY1032" s="200">
        <f t="shared" si="56"/>
        <v>0</v>
      </c>
      <c r="AZ1032" s="1189">
        <v>0.02</v>
      </c>
    </row>
    <row r="1033" spans="1:52" ht="12.9" customHeight="1">
      <c r="A1033" s="14"/>
      <c r="B1033" s="81"/>
      <c r="C1033" s="84"/>
      <c r="D1033" s="526" t="s">
        <v>359</v>
      </c>
      <c r="E1033" s="90"/>
      <c r="F1033" s="90"/>
      <c r="G1033" s="104"/>
      <c r="H1033" s="104"/>
      <c r="I1033" s="49"/>
      <c r="J1033" s="1393" t="s">
        <v>591</v>
      </c>
      <c r="K1033" s="1394"/>
      <c r="L1033" s="1394"/>
      <c r="M1033" s="1394"/>
      <c r="N1033" s="1394"/>
      <c r="O1033" s="1394"/>
      <c r="P1033" s="1394"/>
      <c r="Q1033" s="1394"/>
      <c r="R1033" s="1394"/>
      <c r="S1033" s="1394"/>
      <c r="T1033" s="1394"/>
      <c r="U1033" s="1394"/>
      <c r="V1033" s="1394"/>
      <c r="W1033" s="1394"/>
      <c r="X1033" s="1394"/>
      <c r="Y1033" s="1394"/>
      <c r="Z1033" s="1394"/>
      <c r="AA1033" s="1394"/>
      <c r="AB1033" s="1394"/>
      <c r="AC1033" s="1394"/>
      <c r="AD1033" s="1394"/>
      <c r="AE1033" s="1395"/>
      <c r="AF1033" s="1581"/>
      <c r="AG1033" s="1581"/>
      <c r="AH1033" s="1581"/>
      <c r="AI1033" s="1581"/>
      <c r="AJ1033" s="1377"/>
      <c r="AK1033" s="1378"/>
      <c r="AL1033" s="1378"/>
      <c r="AM1033" s="1378"/>
      <c r="AN1033" s="1378"/>
      <c r="AO1033" s="1378"/>
      <c r="AP1033" s="1378"/>
      <c r="AQ1033" s="1379"/>
      <c r="AR1033" s="68"/>
      <c r="AS1033" s="68"/>
      <c r="AT1033" s="68"/>
      <c r="AU1033" s="68"/>
      <c r="AV1033" s="68"/>
      <c r="AW1033" s="68"/>
      <c r="AX1033" s="1027" t="s">
        <v>2529</v>
      </c>
      <c r="AY1033" s="201">
        <f>IF(SUM(AY1022:AY1032)&lt;=0.2,SUM(AY1022:AY1032),0.2)</f>
        <v>0.2</v>
      </c>
    </row>
    <row r="1034" spans="1:52" ht="12.9" customHeight="1">
      <c r="A1034" s="14"/>
      <c r="B1034" s="79"/>
      <c r="C1034" s="80" t="s">
        <v>229</v>
      </c>
      <c r="D1034" s="1567" t="s">
        <v>1292</v>
      </c>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9"/>
      <c r="AF1034" s="79"/>
      <c r="AG1034" s="1579" t="s">
        <v>545</v>
      </c>
      <c r="AH1034" s="1580"/>
      <c r="AI1034" s="87"/>
      <c r="AJ1034" s="1371">
        <f>ROUND(IF(AG1034="Yes",AF1036,0),0)</f>
        <v>543638</v>
      </c>
      <c r="AK1034" s="1372"/>
      <c r="AL1034" s="1372"/>
      <c r="AM1034" s="1372"/>
      <c r="AN1034" s="1372"/>
      <c r="AO1034" s="1372"/>
      <c r="AP1034" s="1372"/>
      <c r="AQ1034" s="1373"/>
      <c r="AR1034" s="68"/>
      <c r="AS1034" s="68"/>
      <c r="AT1034" s="68"/>
      <c r="AU1034" s="68"/>
      <c r="AV1034" s="68"/>
      <c r="AW1034" s="68"/>
      <c r="AX1034" s="68"/>
      <c r="AY1034" s="68"/>
    </row>
    <row r="1035" spans="1:52" ht="12.9" customHeight="1">
      <c r="A1035" s="14"/>
      <c r="B1035" s="73"/>
      <c r="C1035" s="74"/>
      <c r="D1035" s="1570" t="s">
        <v>1678</v>
      </c>
      <c r="E1035" s="1571"/>
      <c r="F1035" s="1571"/>
      <c r="G1035" s="1571"/>
      <c r="H1035" s="1571"/>
      <c r="I1035" s="1571"/>
      <c r="J1035" s="1571"/>
      <c r="K1035" s="1571"/>
      <c r="L1035" s="1571"/>
      <c r="M1035" s="1571"/>
      <c r="N1035" s="1571"/>
      <c r="O1035" s="1571"/>
      <c r="P1035" s="1571"/>
      <c r="Q1035" s="1571"/>
      <c r="R1035" s="1571"/>
      <c r="S1035" s="1571"/>
      <c r="T1035" s="1571"/>
      <c r="U1035" s="1571"/>
      <c r="V1035" s="1571"/>
      <c r="W1035" s="1571"/>
      <c r="X1035" s="1571"/>
      <c r="Y1035" s="1571"/>
      <c r="Z1035" s="1571"/>
      <c r="AA1035" s="1571"/>
      <c r="AB1035" s="1571"/>
      <c r="AC1035" s="1571"/>
      <c r="AD1035" s="1571"/>
      <c r="AE1035" s="1572"/>
      <c r="AF1035" s="1636" t="str">
        <f>IF(AG1034="yes","Enter Amount:","")</f>
        <v>Enter Amount:</v>
      </c>
      <c r="AG1035" s="1637"/>
      <c r="AH1035" s="1637"/>
      <c r="AI1035" s="1638"/>
      <c r="AJ1035" s="1374"/>
      <c r="AK1035" s="1375"/>
      <c r="AL1035" s="1375"/>
      <c r="AM1035" s="1375"/>
      <c r="AN1035" s="1375"/>
      <c r="AO1035" s="1375"/>
      <c r="AP1035" s="1375"/>
      <c r="AQ1035" s="1376"/>
      <c r="AR1035" s="68"/>
      <c r="AS1035" s="68"/>
      <c r="AT1035" s="68"/>
      <c r="AU1035" s="68"/>
      <c r="AV1035" s="68"/>
      <c r="AW1035" s="68"/>
      <c r="AX1035" s="68"/>
      <c r="AY1035" s="68"/>
    </row>
    <row r="1036" spans="1:52" ht="12.9" customHeight="1">
      <c r="A1036" s="14"/>
      <c r="B1036" s="73"/>
      <c r="C1036" s="74"/>
      <c r="D1036" s="1570"/>
      <c r="E1036" s="1571"/>
      <c r="F1036" s="1571"/>
      <c r="G1036" s="1571"/>
      <c r="H1036" s="1571"/>
      <c r="I1036" s="1571"/>
      <c r="J1036" s="1571"/>
      <c r="K1036" s="1571"/>
      <c r="L1036" s="1571"/>
      <c r="M1036" s="1571"/>
      <c r="N1036" s="1571"/>
      <c r="O1036" s="1571"/>
      <c r="P1036" s="1571"/>
      <c r="Q1036" s="1571"/>
      <c r="R1036" s="1571"/>
      <c r="S1036" s="1571"/>
      <c r="T1036" s="1571"/>
      <c r="U1036" s="1571"/>
      <c r="V1036" s="1571"/>
      <c r="W1036" s="1571"/>
      <c r="X1036" s="1571"/>
      <c r="Y1036" s="1571"/>
      <c r="Z1036" s="1571"/>
      <c r="AA1036" s="1571"/>
      <c r="AB1036" s="1571"/>
      <c r="AC1036" s="1571"/>
      <c r="AD1036" s="1571"/>
      <c r="AE1036" s="1572"/>
      <c r="AF1036" s="1581">
        <f>+'Sources and Uses Budget'!C85</f>
        <v>543638</v>
      </c>
      <c r="AG1036" s="1581"/>
      <c r="AH1036" s="1581"/>
      <c r="AI1036" s="1581"/>
      <c r="AJ1036" s="1374"/>
      <c r="AK1036" s="1375"/>
      <c r="AL1036" s="1375"/>
      <c r="AM1036" s="1375"/>
      <c r="AN1036" s="1375"/>
      <c r="AO1036" s="1375"/>
      <c r="AP1036" s="1375"/>
      <c r="AQ1036" s="1376"/>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589"/>
      <c r="E1037" s="1590"/>
      <c r="F1037" s="1590"/>
      <c r="G1037" s="1590"/>
      <c r="H1037" s="1590"/>
      <c r="I1037" s="1590"/>
      <c r="J1037" s="1590"/>
      <c r="K1037" s="1590"/>
      <c r="L1037" s="1590"/>
      <c r="M1037" s="1590"/>
      <c r="N1037" s="1590"/>
      <c r="O1037" s="1590"/>
      <c r="P1037" s="1590"/>
      <c r="Q1037" s="1590"/>
      <c r="R1037" s="1590"/>
      <c r="S1037" s="1590"/>
      <c r="T1037" s="1590"/>
      <c r="U1037" s="1590"/>
      <c r="V1037" s="1590"/>
      <c r="W1037" s="1590"/>
      <c r="X1037" s="1590"/>
      <c r="Y1037" s="1590"/>
      <c r="Z1037" s="1590"/>
      <c r="AA1037" s="1590"/>
      <c r="AB1037" s="1590"/>
      <c r="AC1037" s="1590"/>
      <c r="AD1037" s="1590"/>
      <c r="AE1037" s="1591"/>
      <c r="AF1037" s="1581"/>
      <c r="AG1037" s="1581"/>
      <c r="AH1037" s="1581"/>
      <c r="AI1037" s="1581"/>
      <c r="AJ1037" s="1377"/>
      <c r="AK1037" s="1378"/>
      <c r="AL1037" s="1378"/>
      <c r="AM1037" s="1378"/>
      <c r="AN1037" s="1378"/>
      <c r="AO1037" s="1378"/>
      <c r="AP1037" s="1378"/>
      <c r="AQ1037" s="1379"/>
      <c r="AR1037" s="68"/>
      <c r="AS1037" s="68"/>
      <c r="AT1037" s="68"/>
      <c r="AU1037" s="68"/>
      <c r="AV1037" s="68"/>
      <c r="AW1037" s="68"/>
      <c r="AX1037" s="68"/>
      <c r="AY1037" s="68"/>
    </row>
    <row r="1038" spans="1:52" ht="12.9" customHeight="1">
      <c r="A1038" s="14"/>
      <c r="B1038" s="79"/>
      <c r="C1038" s="80" t="s">
        <v>234</v>
      </c>
      <c r="D1038" s="1586" t="s">
        <v>1293</v>
      </c>
      <c r="E1038" s="1587"/>
      <c r="F1038" s="1587"/>
      <c r="G1038" s="1587"/>
      <c r="H1038" s="1587"/>
      <c r="I1038" s="1587"/>
      <c r="J1038" s="1587"/>
      <c r="K1038" s="1587"/>
      <c r="L1038" s="1587"/>
      <c r="M1038" s="1587"/>
      <c r="N1038" s="1587"/>
      <c r="O1038" s="1587"/>
      <c r="P1038" s="1587"/>
      <c r="Q1038" s="1587"/>
      <c r="R1038" s="1587"/>
      <c r="S1038" s="1587"/>
      <c r="T1038" s="1587"/>
      <c r="U1038" s="1587"/>
      <c r="V1038" s="1587"/>
      <c r="W1038" s="1587"/>
      <c r="X1038" s="1587"/>
      <c r="Y1038" s="1587"/>
      <c r="Z1038" s="1587"/>
      <c r="AA1038" s="1587"/>
      <c r="AB1038" s="1587"/>
      <c r="AC1038" s="1587"/>
      <c r="AD1038" s="1587"/>
      <c r="AE1038" s="1588"/>
      <c r="AF1038" s="79"/>
      <c r="AG1038" s="1585" t="s">
        <v>545</v>
      </c>
      <c r="AH1038" s="1580"/>
      <c r="AI1038" s="87"/>
      <c r="AJ1038" s="1371">
        <f>ROUND(IF(AG1038="yes",(AJ1001*0.1),0),0)</f>
        <v>4592907</v>
      </c>
      <c r="AK1038" s="1372"/>
      <c r="AL1038" s="1372"/>
      <c r="AM1038" s="1372"/>
      <c r="AN1038" s="1372"/>
      <c r="AO1038" s="1372"/>
      <c r="AP1038" s="1372"/>
      <c r="AQ1038" s="1373"/>
      <c r="AR1038" s="68"/>
      <c r="AS1038" s="68"/>
      <c r="AT1038" s="68"/>
      <c r="AU1038" s="68"/>
      <c r="AV1038" s="68"/>
      <c r="AW1038" s="68"/>
      <c r="AX1038" s="68"/>
      <c r="AY1038" s="68"/>
    </row>
    <row r="1039" spans="1:52" ht="12.9" customHeight="1">
      <c r="A1039" s="14"/>
      <c r="B1039" s="73"/>
      <c r="C1039" s="74"/>
      <c r="D1039" s="1570" t="s">
        <v>1294</v>
      </c>
      <c r="E1039" s="1571"/>
      <c r="F1039" s="1571"/>
      <c r="G1039" s="1571"/>
      <c r="H1039" s="1571"/>
      <c r="I1039" s="1571"/>
      <c r="J1039" s="1571"/>
      <c r="K1039" s="1571"/>
      <c r="L1039" s="1571"/>
      <c r="M1039" s="1571"/>
      <c r="N1039" s="1571"/>
      <c r="O1039" s="1571"/>
      <c r="P1039" s="1571"/>
      <c r="Q1039" s="1571"/>
      <c r="R1039" s="1571"/>
      <c r="S1039" s="1571"/>
      <c r="T1039" s="1571"/>
      <c r="U1039" s="1571"/>
      <c r="V1039" s="1571"/>
      <c r="W1039" s="1571"/>
      <c r="X1039" s="1571"/>
      <c r="Y1039" s="1571"/>
      <c r="Z1039" s="1571"/>
      <c r="AA1039" s="1571"/>
      <c r="AB1039" s="1571"/>
      <c r="AC1039" s="1571"/>
      <c r="AD1039" s="1571"/>
      <c r="AE1039" s="1572"/>
      <c r="AF1039" s="73"/>
      <c r="AG1039" s="14"/>
      <c r="AH1039" s="14"/>
      <c r="AI1039" s="83"/>
      <c r="AJ1039" s="1374"/>
      <c r="AK1039" s="1375"/>
      <c r="AL1039" s="1375"/>
      <c r="AM1039" s="1375"/>
      <c r="AN1039" s="1375"/>
      <c r="AO1039" s="1375"/>
      <c r="AP1039" s="1375"/>
      <c r="AQ1039" s="1376"/>
      <c r="AR1039" s="68"/>
      <c r="AS1039" s="68"/>
      <c r="AT1039" s="68"/>
      <c r="AU1039" s="68"/>
      <c r="AV1039" s="68"/>
      <c r="AW1039" s="68"/>
      <c r="AX1039" s="68"/>
      <c r="AY1039" s="68"/>
    </row>
    <row r="1040" spans="1:52" ht="12.9" customHeight="1">
      <c r="A1040" s="14"/>
      <c r="B1040" s="77"/>
      <c r="C1040" s="74"/>
      <c r="D1040" s="1589"/>
      <c r="E1040" s="1590"/>
      <c r="F1040" s="1590"/>
      <c r="G1040" s="1590"/>
      <c r="H1040" s="1590"/>
      <c r="I1040" s="1590"/>
      <c r="J1040" s="1590"/>
      <c r="K1040" s="1590"/>
      <c r="L1040" s="1590"/>
      <c r="M1040" s="1590"/>
      <c r="N1040" s="1590"/>
      <c r="O1040" s="1590"/>
      <c r="P1040" s="1590"/>
      <c r="Q1040" s="1590"/>
      <c r="R1040" s="1590"/>
      <c r="S1040" s="1590"/>
      <c r="T1040" s="1590"/>
      <c r="U1040" s="1590"/>
      <c r="V1040" s="1590"/>
      <c r="W1040" s="1590"/>
      <c r="X1040" s="1590"/>
      <c r="Y1040" s="1590"/>
      <c r="Z1040" s="1590"/>
      <c r="AA1040" s="1590"/>
      <c r="AB1040" s="1590"/>
      <c r="AC1040" s="1590"/>
      <c r="AD1040" s="1590"/>
      <c r="AE1040" s="1591"/>
      <c r="AF1040" s="73"/>
      <c r="AG1040" s="14"/>
      <c r="AH1040" s="14"/>
      <c r="AI1040" s="83"/>
      <c r="AJ1040" s="1377"/>
      <c r="AK1040" s="1378"/>
      <c r="AL1040" s="1378"/>
      <c r="AM1040" s="1378"/>
      <c r="AN1040" s="1378"/>
      <c r="AO1040" s="1378"/>
      <c r="AP1040" s="1378"/>
      <c r="AQ1040" s="1379"/>
      <c r="AR1040" s="68"/>
      <c r="AS1040" s="68"/>
      <c r="AT1040" s="68"/>
      <c r="AU1040" s="68"/>
      <c r="AV1040" s="68"/>
      <c r="AW1040" s="68"/>
      <c r="AX1040" s="68"/>
      <c r="AY1040" s="68"/>
    </row>
    <row r="1041" spans="1:57" ht="12.9" customHeight="1">
      <c r="A1041" s="14"/>
      <c r="B1041" s="73"/>
      <c r="C1041" s="339" t="s">
        <v>687</v>
      </c>
      <c r="D1041" s="1567" t="s">
        <v>1674</v>
      </c>
      <c r="E1041" s="1568"/>
      <c r="F1041" s="1568"/>
      <c r="G1041" s="1568"/>
      <c r="H1041" s="1568"/>
      <c r="I1041" s="1568"/>
      <c r="J1041" s="1568"/>
      <c r="K1041" s="1568"/>
      <c r="L1041" s="1568"/>
      <c r="M1041" s="1568"/>
      <c r="N1041" s="1568"/>
      <c r="O1041" s="1568"/>
      <c r="P1041" s="1568"/>
      <c r="Q1041" s="1568"/>
      <c r="R1041" s="1568"/>
      <c r="S1041" s="1568"/>
      <c r="T1041" s="1568"/>
      <c r="U1041" s="1568"/>
      <c r="V1041" s="1568"/>
      <c r="W1041" s="1568"/>
      <c r="X1041" s="1568"/>
      <c r="Y1041" s="1568"/>
      <c r="Z1041" s="1568"/>
      <c r="AA1041" s="1568"/>
      <c r="AB1041" s="1568"/>
      <c r="AC1041" s="1568"/>
      <c r="AD1041" s="1568"/>
      <c r="AE1041" s="1569"/>
      <c r="AF1041" s="79"/>
      <c r="AG1041" s="1585" t="s">
        <v>669</v>
      </c>
      <c r="AH1041" s="1580"/>
      <c r="AI1041" s="87"/>
      <c r="AJ1041" s="1371">
        <f>ROUND(IF(AG1041="yes",(AJ1001*0.15),0),0)</f>
        <v>0</v>
      </c>
      <c r="AK1041" s="1372"/>
      <c r="AL1041" s="1372"/>
      <c r="AM1041" s="1372"/>
      <c r="AN1041" s="1372"/>
      <c r="AO1041" s="1372"/>
      <c r="AP1041" s="1372"/>
      <c r="AQ1041" s="1373"/>
      <c r="AR1041" s="68"/>
      <c r="AS1041" s="68"/>
      <c r="AT1041" s="68"/>
      <c r="AU1041" s="68"/>
      <c r="AV1041" s="68"/>
      <c r="AW1041" s="68"/>
      <c r="AX1041" s="68"/>
      <c r="AY1041" s="68"/>
    </row>
    <row r="1042" spans="1:57" ht="12.9" customHeight="1">
      <c r="A1042" s="14"/>
      <c r="B1042" s="73"/>
      <c r="C1042" s="74"/>
      <c r="D1042" s="1625"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26"/>
      <c r="AF1042" s="911"/>
      <c r="AG1042" s="912"/>
      <c r="AH1042" s="912"/>
      <c r="AI1042" s="913"/>
      <c r="AJ1042" s="1374"/>
      <c r="AK1042" s="1375"/>
      <c r="AL1042" s="1375"/>
      <c r="AM1042" s="1375"/>
      <c r="AN1042" s="1375"/>
      <c r="AO1042" s="1375"/>
      <c r="AP1042" s="1375"/>
      <c r="AQ1042" s="1376"/>
      <c r="AR1042" s="68"/>
      <c r="AS1042" s="68"/>
      <c r="AT1042" s="68"/>
      <c r="AU1042" s="68"/>
      <c r="AV1042" s="68"/>
      <c r="AW1042" s="68"/>
      <c r="AX1042" s="68"/>
      <c r="AY1042" s="68"/>
    </row>
    <row r="1043" spans="1:57" ht="12.9" customHeight="1">
      <c r="A1043" s="14"/>
      <c r="B1043" s="73"/>
      <c r="C1043" s="74"/>
      <c r="D1043" s="1625"/>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26"/>
      <c r="AF1043" s="911"/>
      <c r="AG1043" s="912"/>
      <c r="AH1043" s="912"/>
      <c r="AI1043" s="913"/>
      <c r="AJ1043" s="1374"/>
      <c r="AK1043" s="1375"/>
      <c r="AL1043" s="1375"/>
      <c r="AM1043" s="1375"/>
      <c r="AN1043" s="1375"/>
      <c r="AO1043" s="1375"/>
      <c r="AP1043" s="1375"/>
      <c r="AQ1043" s="1376"/>
      <c r="AR1043" s="68"/>
      <c r="AS1043" s="68"/>
      <c r="AT1043" s="68"/>
      <c r="AU1043" s="68"/>
      <c r="AV1043" s="68"/>
      <c r="AW1043" s="68"/>
      <c r="AX1043" s="68"/>
      <c r="AY1043" s="68"/>
    </row>
    <row r="1044" spans="1:57" ht="12.9" customHeight="1">
      <c r="A1044" s="14"/>
      <c r="B1044" s="73"/>
      <c r="C1044" s="74"/>
      <c r="D1044" s="1627"/>
      <c r="E1044" s="1628"/>
      <c r="F1044" s="1628"/>
      <c r="G1044" s="1628"/>
      <c r="H1044" s="1628"/>
      <c r="I1044" s="1628"/>
      <c r="J1044" s="1628"/>
      <c r="K1044" s="1628"/>
      <c r="L1044" s="1628"/>
      <c r="M1044" s="1628"/>
      <c r="N1044" s="1628"/>
      <c r="O1044" s="1628"/>
      <c r="P1044" s="1628"/>
      <c r="Q1044" s="1628"/>
      <c r="R1044" s="1628"/>
      <c r="S1044" s="1628"/>
      <c r="T1044" s="1628"/>
      <c r="U1044" s="1628"/>
      <c r="V1044" s="1628"/>
      <c r="W1044" s="1628"/>
      <c r="X1044" s="1628"/>
      <c r="Y1044" s="1628"/>
      <c r="Z1044" s="1628"/>
      <c r="AA1044" s="1628"/>
      <c r="AB1044" s="1628"/>
      <c r="AC1044" s="1628"/>
      <c r="AD1044" s="1628"/>
      <c r="AE1044" s="1629"/>
      <c r="AF1044" s="914"/>
      <c r="AG1044" s="915"/>
      <c r="AH1044" s="915"/>
      <c r="AI1044" s="916"/>
      <c r="AJ1044" s="1377"/>
      <c r="AK1044" s="1378"/>
      <c r="AL1044" s="1378"/>
      <c r="AM1044" s="1378"/>
      <c r="AN1044" s="1378"/>
      <c r="AO1044" s="1378"/>
      <c r="AP1044" s="1378"/>
      <c r="AQ1044" s="1379"/>
      <c r="AR1044" s="68"/>
      <c r="AS1044" s="68"/>
      <c r="AT1044" s="68"/>
      <c r="AU1044" s="68"/>
      <c r="AV1044" s="68"/>
      <c r="AW1044" s="68"/>
      <c r="AX1044" s="68"/>
      <c r="AY1044" s="68"/>
    </row>
    <row r="1045" spans="1:57" ht="12.9" customHeight="1">
      <c r="A1045" s="14"/>
      <c r="B1045" s="73"/>
      <c r="C1045" s="339" t="s">
        <v>687</v>
      </c>
      <c r="D1045" s="1586" t="s">
        <v>1676</v>
      </c>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8"/>
      <c r="AF1045" s="73"/>
      <c r="AG1045" s="1598" t="s">
        <v>669</v>
      </c>
      <c r="AH1045" s="1599"/>
      <c r="AI1045" s="83"/>
      <c r="AJ1045" s="1371">
        <f>ROUND(IF(AND(AG1045="yes",AJ1041=0),(AJ1001*0.1),0),0)</f>
        <v>0</v>
      </c>
      <c r="AK1045" s="1372"/>
      <c r="AL1045" s="1372"/>
      <c r="AM1045" s="1372"/>
      <c r="AN1045" s="1372"/>
      <c r="AO1045" s="1372"/>
      <c r="AP1045" s="1372"/>
      <c r="AQ1045" s="1373"/>
      <c r="AR1045" s="68"/>
      <c r="AS1045" s="68"/>
      <c r="AT1045" s="68"/>
      <c r="AU1045" s="68"/>
      <c r="AV1045" s="68"/>
      <c r="AW1045" s="68"/>
      <c r="AX1045" s="68"/>
      <c r="AY1045" s="68"/>
    </row>
    <row r="1046" spans="1:57" ht="12.9" customHeight="1">
      <c r="A1046" s="14"/>
      <c r="B1046" s="73"/>
      <c r="C1046" s="74"/>
      <c r="D1046" s="1625"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26"/>
      <c r="AF1046" s="73"/>
      <c r="AG1046" s="14"/>
      <c r="AH1046" s="14"/>
      <c r="AI1046" s="83"/>
      <c r="AJ1046" s="1374"/>
      <c r="AK1046" s="1375"/>
      <c r="AL1046" s="1375"/>
      <c r="AM1046" s="1375"/>
      <c r="AN1046" s="1375"/>
      <c r="AO1046" s="1375"/>
      <c r="AP1046" s="1375"/>
      <c r="AQ1046" s="1376"/>
      <c r="AR1046" s="68"/>
      <c r="AS1046" s="68"/>
      <c r="AT1046" s="68"/>
      <c r="AU1046" s="68"/>
      <c r="AV1046" s="68"/>
      <c r="AW1046" s="68"/>
      <c r="AX1046" s="68"/>
      <c r="AY1046" s="68"/>
    </row>
    <row r="1047" spans="1:57" ht="12.9" customHeight="1">
      <c r="A1047" s="14"/>
      <c r="B1047" s="73"/>
      <c r="C1047" s="74"/>
      <c r="D1047" s="1625"/>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26"/>
      <c r="AF1047" s="73"/>
      <c r="AG1047" s="14"/>
      <c r="AH1047" s="14"/>
      <c r="AI1047" s="83"/>
      <c r="AJ1047" s="1374"/>
      <c r="AK1047" s="1375"/>
      <c r="AL1047" s="1375"/>
      <c r="AM1047" s="1375"/>
      <c r="AN1047" s="1375"/>
      <c r="AO1047" s="1375"/>
      <c r="AP1047" s="1375"/>
      <c r="AQ1047" s="1376"/>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 customHeight="1">
      <c r="A1048" s="14"/>
      <c r="B1048" s="73"/>
      <c r="C1048" s="74"/>
      <c r="D1048" s="1625"/>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26"/>
      <c r="AF1048" s="73"/>
      <c r="AG1048" s="14"/>
      <c r="AH1048" s="14"/>
      <c r="AI1048" s="83"/>
      <c r="AJ1048" s="1374"/>
      <c r="AK1048" s="1375"/>
      <c r="AL1048" s="1375"/>
      <c r="AM1048" s="1375"/>
      <c r="AN1048" s="1375"/>
      <c r="AO1048" s="1375"/>
      <c r="AP1048" s="1375"/>
      <c r="AQ1048" s="1376"/>
      <c r="AR1048" s="68"/>
      <c r="AS1048" s="68"/>
      <c r="AT1048" s="68"/>
      <c r="AU1048" s="68"/>
      <c r="AV1048" s="68"/>
      <c r="AW1048" s="68"/>
      <c r="AX1048" s="68"/>
      <c r="AY1048" s="68"/>
      <c r="BA1048">
        <f>IFERROR((($CI$761+$CM$761)/$AG$449),0)</f>
        <v>1</v>
      </c>
      <c r="BB1048" s="3" t="s">
        <v>2421</v>
      </c>
    </row>
    <row r="1049" spans="1:57" ht="12.9" customHeight="1">
      <c r="A1049" s="14"/>
      <c r="B1049" s="73"/>
      <c r="C1049" s="74"/>
      <c r="D1049" s="1627"/>
      <c r="E1049" s="1628"/>
      <c r="F1049" s="1628"/>
      <c r="G1049" s="1628"/>
      <c r="H1049" s="1628"/>
      <c r="I1049" s="1628"/>
      <c r="J1049" s="1628"/>
      <c r="K1049" s="1628"/>
      <c r="L1049" s="1628"/>
      <c r="M1049" s="1628"/>
      <c r="N1049" s="1628"/>
      <c r="O1049" s="1628"/>
      <c r="P1049" s="1628"/>
      <c r="Q1049" s="1628"/>
      <c r="R1049" s="1628"/>
      <c r="S1049" s="1628"/>
      <c r="T1049" s="1628"/>
      <c r="U1049" s="1628"/>
      <c r="V1049" s="1628"/>
      <c r="W1049" s="1628"/>
      <c r="X1049" s="1628"/>
      <c r="Y1049" s="1628"/>
      <c r="Z1049" s="1628"/>
      <c r="AA1049" s="1628"/>
      <c r="AB1049" s="1628"/>
      <c r="AC1049" s="1628"/>
      <c r="AD1049" s="1628"/>
      <c r="AE1049" s="1629"/>
      <c r="AF1049" s="73"/>
      <c r="AG1049" s="14"/>
      <c r="AH1049" s="14"/>
      <c r="AI1049" s="83"/>
      <c r="AJ1049" s="1374"/>
      <c r="AK1049" s="1375"/>
      <c r="AL1049" s="1375"/>
      <c r="AM1049" s="1375"/>
      <c r="AN1049" s="1375"/>
      <c r="AO1049" s="1375"/>
      <c r="AP1049" s="1375"/>
      <c r="AQ1049" s="1376"/>
      <c r="AR1049" s="68"/>
      <c r="AS1049" s="68"/>
      <c r="AT1049" s="68"/>
      <c r="AU1049" s="68"/>
      <c r="AV1049" s="68"/>
      <c r="AW1049" s="68"/>
      <c r="AX1049" s="68"/>
      <c r="AY1049" s="68"/>
      <c r="BA1049" t="b">
        <f>'Points System'!AJ163="Yes"</f>
        <v>0</v>
      </c>
      <c r="BB1049" s="3" t="s">
        <v>2418</v>
      </c>
    </row>
    <row r="1050" spans="1:57" ht="12.9" customHeight="1">
      <c r="A1050" s="14"/>
      <c r="B1050" s="79"/>
      <c r="C1050" s="131" t="s">
        <v>1009</v>
      </c>
      <c r="D1050" s="1567" t="s">
        <v>1295</v>
      </c>
      <c r="E1050" s="1568"/>
      <c r="F1050" s="1568"/>
      <c r="G1050" s="1568"/>
      <c r="H1050" s="1568"/>
      <c r="I1050" s="1568"/>
      <c r="J1050" s="1568"/>
      <c r="K1050" s="1568"/>
      <c r="L1050" s="1568"/>
      <c r="M1050" s="1568"/>
      <c r="N1050" s="1568"/>
      <c r="O1050" s="1568"/>
      <c r="P1050" s="1568"/>
      <c r="Q1050" s="1568"/>
      <c r="R1050" s="1568"/>
      <c r="S1050" s="1568"/>
      <c r="T1050" s="1568"/>
      <c r="U1050" s="1568"/>
      <c r="V1050" s="1568"/>
      <c r="W1050" s="1568"/>
      <c r="X1050" s="1568"/>
      <c r="Y1050" s="1568"/>
      <c r="Z1050" s="1568"/>
      <c r="AA1050" s="1568"/>
      <c r="AB1050" s="1568"/>
      <c r="AC1050" s="1568"/>
      <c r="AD1050" s="1568"/>
      <c r="AE1050" s="1569"/>
      <c r="AF1050" s="79"/>
      <c r="AG1050" s="1585" t="s">
        <v>669</v>
      </c>
      <c r="AH1050" s="1580"/>
      <c r="AI1050" s="87"/>
      <c r="AJ1050" s="1371">
        <f>ROUND(IF(AG1050="yes",(AJ1001*0.1),0),0)</f>
        <v>0</v>
      </c>
      <c r="AK1050" s="1372"/>
      <c r="AL1050" s="1372"/>
      <c r="AM1050" s="1372"/>
      <c r="AN1050" s="1372"/>
      <c r="AO1050" s="1372"/>
      <c r="AP1050" s="1372"/>
      <c r="AQ1050" s="1373"/>
      <c r="AR1050" s="68"/>
      <c r="AS1050" s="68"/>
      <c r="AT1050" s="68"/>
      <c r="AU1050" s="68"/>
      <c r="AV1050" s="68"/>
      <c r="AW1050" s="68"/>
      <c r="AX1050" s="68"/>
      <c r="AY1050" s="68"/>
      <c r="BA1050">
        <f>Q212</f>
        <v>93</v>
      </c>
      <c r="BB1050" s="3" t="s">
        <v>2419</v>
      </c>
    </row>
    <row r="1051" spans="1:57" ht="12.9" customHeight="1">
      <c r="A1051" s="14"/>
      <c r="B1051" s="73"/>
      <c r="C1051" s="74"/>
      <c r="D1051" s="1570" t="s">
        <v>2097</v>
      </c>
      <c r="E1051" s="1571"/>
      <c r="F1051" s="1571"/>
      <c r="G1051" s="1571"/>
      <c r="H1051" s="1571"/>
      <c r="I1051" s="1571"/>
      <c r="J1051" s="1571"/>
      <c r="K1051" s="1571"/>
      <c r="L1051" s="1571"/>
      <c r="M1051" s="1571"/>
      <c r="N1051" s="1571"/>
      <c r="O1051" s="1571"/>
      <c r="P1051" s="1571"/>
      <c r="Q1051" s="1571"/>
      <c r="R1051" s="1571"/>
      <c r="S1051" s="1571"/>
      <c r="T1051" s="1571"/>
      <c r="U1051" s="1571"/>
      <c r="V1051" s="1571"/>
      <c r="W1051" s="1571"/>
      <c r="X1051" s="1571"/>
      <c r="Y1051" s="1571"/>
      <c r="Z1051" s="1571"/>
      <c r="AA1051" s="1571"/>
      <c r="AB1051" s="1571"/>
      <c r="AC1051" s="1571"/>
      <c r="AD1051" s="1571"/>
      <c r="AE1051" s="1572"/>
      <c r="AF1051" s="73"/>
      <c r="AG1051" s="14"/>
      <c r="AH1051" s="14"/>
      <c r="AI1051" s="83"/>
      <c r="AJ1051" s="1374"/>
      <c r="AK1051" s="1375"/>
      <c r="AL1051" s="1375"/>
      <c r="AM1051" s="1375"/>
      <c r="AN1051" s="1375"/>
      <c r="AO1051" s="1375"/>
      <c r="AP1051" s="1375"/>
      <c r="AQ1051" s="1376"/>
      <c r="AR1051" s="68"/>
      <c r="AS1051" s="68"/>
      <c r="AT1051" s="68"/>
      <c r="AU1051" s="68"/>
      <c r="AV1051" s="68"/>
      <c r="AW1051" s="68"/>
      <c r="AX1051" s="68"/>
      <c r="AY1051" s="68"/>
      <c r="BA1051" s="1177">
        <f>T212</f>
        <v>1</v>
      </c>
      <c r="BB1051" s="3" t="s">
        <v>2420</v>
      </c>
    </row>
    <row r="1052" spans="1:57" ht="12.9" customHeight="1">
      <c r="A1052" s="14"/>
      <c r="B1052" s="73"/>
      <c r="C1052" s="74"/>
      <c r="D1052" s="1570"/>
      <c r="E1052" s="1571"/>
      <c r="F1052" s="1571"/>
      <c r="G1052" s="1571"/>
      <c r="H1052" s="1571"/>
      <c r="I1052" s="1571"/>
      <c r="J1052" s="1571"/>
      <c r="K1052" s="1571"/>
      <c r="L1052" s="1571"/>
      <c r="M1052" s="1571"/>
      <c r="N1052" s="1571"/>
      <c r="O1052" s="1571"/>
      <c r="P1052" s="1571"/>
      <c r="Q1052" s="1571"/>
      <c r="R1052" s="1571"/>
      <c r="S1052" s="1571"/>
      <c r="T1052" s="1571"/>
      <c r="U1052" s="1571"/>
      <c r="V1052" s="1571"/>
      <c r="W1052" s="1571"/>
      <c r="X1052" s="1571"/>
      <c r="Y1052" s="1571"/>
      <c r="Z1052" s="1571"/>
      <c r="AA1052" s="1571"/>
      <c r="AB1052" s="1571"/>
      <c r="AC1052" s="1571"/>
      <c r="AD1052" s="1571"/>
      <c r="AE1052" s="1572"/>
      <c r="AF1052" s="73"/>
      <c r="AG1052" s="14"/>
      <c r="AH1052" s="14"/>
      <c r="AI1052" s="83"/>
      <c r="AJ1052" s="1374"/>
      <c r="AK1052" s="1375"/>
      <c r="AL1052" s="1375"/>
      <c r="AM1052" s="1375"/>
      <c r="AN1052" s="1375"/>
      <c r="AO1052" s="1375"/>
      <c r="AP1052" s="1375"/>
      <c r="AQ1052" s="1376"/>
      <c r="AR1052" s="68"/>
      <c r="AS1052" s="68"/>
      <c r="AT1052" s="68"/>
      <c r="AU1052" s="68"/>
      <c r="AV1052" s="68"/>
      <c r="AW1052" s="68"/>
      <c r="AX1052" s="68"/>
      <c r="AY1052" s="68"/>
    </row>
    <row r="1053" spans="1:57" ht="12.9" customHeight="1">
      <c r="A1053" s="14"/>
      <c r="B1053" s="73"/>
      <c r="C1053" s="74"/>
      <c r="D1053" s="1589"/>
      <c r="E1053" s="1590"/>
      <c r="F1053" s="1590"/>
      <c r="G1053" s="1590"/>
      <c r="H1053" s="1590"/>
      <c r="I1053" s="1590"/>
      <c r="J1053" s="1590"/>
      <c r="K1053" s="1590"/>
      <c r="L1053" s="1590"/>
      <c r="M1053" s="1590"/>
      <c r="N1053" s="1590"/>
      <c r="O1053" s="1590"/>
      <c r="P1053" s="1590"/>
      <c r="Q1053" s="1590"/>
      <c r="R1053" s="1590"/>
      <c r="S1053" s="1590"/>
      <c r="T1053" s="1590"/>
      <c r="U1053" s="1590"/>
      <c r="V1053" s="1590"/>
      <c r="W1053" s="1590"/>
      <c r="X1053" s="1590"/>
      <c r="Y1053" s="1590"/>
      <c r="Z1053" s="1590"/>
      <c r="AA1053" s="1590"/>
      <c r="AB1053" s="1590"/>
      <c r="AC1053" s="1590"/>
      <c r="AD1053" s="1590"/>
      <c r="AE1053" s="1591"/>
      <c r="AF1053" s="73"/>
      <c r="AG1053" s="14"/>
      <c r="AH1053" s="14"/>
      <c r="AI1053" s="83"/>
      <c r="AJ1053" s="1377"/>
      <c r="AK1053" s="1378"/>
      <c r="AL1053" s="1378"/>
      <c r="AM1053" s="1378"/>
      <c r="AN1053" s="1378"/>
      <c r="AO1053" s="1378"/>
      <c r="AP1053" s="1378"/>
      <c r="AQ1053" s="1379"/>
      <c r="AR1053" s="68"/>
      <c r="AS1053" s="68"/>
      <c r="AT1053" s="68"/>
      <c r="AU1053" s="68"/>
      <c r="AV1053" s="68"/>
      <c r="AW1053" s="68"/>
      <c r="AX1053" s="68"/>
      <c r="AY1053" s="68"/>
    </row>
    <row r="1054" spans="1:57" ht="12.9" customHeight="1">
      <c r="A1054" s="14"/>
      <c r="B1054" s="79"/>
      <c r="C1054" s="131" t="s">
        <v>1672</v>
      </c>
      <c r="D1054" s="1586" t="s">
        <v>1837</v>
      </c>
      <c r="E1054" s="1587"/>
      <c r="F1054" s="1587"/>
      <c r="G1054" s="1587"/>
      <c r="H1054" s="1587"/>
      <c r="I1054" s="1587"/>
      <c r="J1054" s="1587"/>
      <c r="K1054" s="1587"/>
      <c r="L1054" s="1587"/>
      <c r="M1054" s="1587"/>
      <c r="N1054" s="1587"/>
      <c r="O1054" s="1587"/>
      <c r="P1054" s="1587"/>
      <c r="Q1054" s="1587"/>
      <c r="R1054" s="1587"/>
      <c r="S1054" s="1587"/>
      <c r="T1054" s="1587"/>
      <c r="U1054" s="1587"/>
      <c r="V1054" s="1587"/>
      <c r="W1054" s="1587"/>
      <c r="X1054" s="1587"/>
      <c r="Y1054" s="1587"/>
      <c r="Z1054" s="1587"/>
      <c r="AA1054" s="1587"/>
      <c r="AB1054" s="1587"/>
      <c r="AC1054" s="1587"/>
      <c r="AD1054" s="1587"/>
      <c r="AE1054" s="1588"/>
      <c r="AF1054" s="79"/>
      <c r="AG1054" s="1577" t="str">
        <f>IF(X1057&gt;0,"Yes","No")</f>
        <v>Yes</v>
      </c>
      <c r="AH1054" s="1578"/>
      <c r="AI1054" s="87"/>
      <c r="AJ1054" s="1371">
        <f>IF((X1057=0),0,AY1014*AJ1001)</f>
        <v>22505245.280000001</v>
      </c>
      <c r="AK1054" s="1372"/>
      <c r="AL1054" s="1372"/>
      <c r="AM1054" s="1372"/>
      <c r="AN1054" s="1372"/>
      <c r="AO1054" s="1372"/>
      <c r="AP1054" s="1372"/>
      <c r="AQ1054" s="137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 customHeight="1">
      <c r="A1055" s="14"/>
      <c r="B1055" s="73"/>
      <c r="C1055" s="442"/>
      <c r="D1055" s="1570" t="s">
        <v>1297</v>
      </c>
      <c r="E1055" s="1571"/>
      <c r="F1055" s="1571"/>
      <c r="G1055" s="1571"/>
      <c r="H1055" s="1571"/>
      <c r="I1055" s="1571"/>
      <c r="J1055" s="1571"/>
      <c r="K1055" s="1571"/>
      <c r="L1055" s="1571"/>
      <c r="M1055" s="1571"/>
      <c r="N1055" s="1571"/>
      <c r="O1055" s="1571"/>
      <c r="P1055" s="1571"/>
      <c r="Q1055" s="1571"/>
      <c r="R1055" s="1571"/>
      <c r="S1055" s="1571"/>
      <c r="T1055" s="1571"/>
      <c r="U1055" s="1571"/>
      <c r="V1055" s="1571"/>
      <c r="W1055" s="1571"/>
      <c r="X1055" s="1571"/>
      <c r="Y1055" s="1571"/>
      <c r="Z1055" s="1571"/>
      <c r="AA1055" s="1571"/>
      <c r="AB1055" s="1571"/>
      <c r="AC1055" s="1571"/>
      <c r="AD1055" s="1571"/>
      <c r="AE1055" s="1572"/>
      <c r="AF1055" s="73"/>
      <c r="AG1055" s="443"/>
      <c r="AH1055" s="443"/>
      <c r="AI1055" s="83"/>
      <c r="AJ1055" s="1374"/>
      <c r="AK1055" s="1375"/>
      <c r="AL1055" s="1375"/>
      <c r="AM1055" s="1375"/>
      <c r="AN1055" s="1375"/>
      <c r="AO1055" s="1375"/>
      <c r="AP1055" s="1375"/>
      <c r="AQ1055" s="1376"/>
      <c r="AR1055" s="68"/>
      <c r="AS1055" s="68"/>
      <c r="AT1055" s="68"/>
      <c r="AU1055" s="13"/>
      <c r="AV1055" s="68"/>
      <c r="AW1055" s="68"/>
      <c r="AX1055" s="68"/>
      <c r="AY1055" s="68"/>
      <c r="AZ1055" s="958">
        <f>'Sources and Uses Budget'!S97*BA1055</f>
        <v>7700660.3999999994</v>
      </c>
      <c r="BA1055" s="1175">
        <f>IF(BA1049,20%,15%)</f>
        <v>0.15</v>
      </c>
      <c r="BB1055" s="3" t="s">
        <v>2407</v>
      </c>
      <c r="BC1055" s="3" t="s">
        <v>2408</v>
      </c>
      <c r="BD1055" s="3"/>
    </row>
    <row r="1056" spans="1:57" ht="12.9" customHeight="1">
      <c r="A1056" s="14"/>
      <c r="B1056" s="73"/>
      <c r="C1056" s="442"/>
      <c r="D1056" s="1570"/>
      <c r="E1056" s="1571"/>
      <c r="F1056" s="1571"/>
      <c r="G1056" s="1571"/>
      <c r="H1056" s="1571"/>
      <c r="I1056" s="1571"/>
      <c r="J1056" s="1571"/>
      <c r="K1056" s="1571"/>
      <c r="L1056" s="1571"/>
      <c r="M1056" s="1571"/>
      <c r="N1056" s="1571"/>
      <c r="O1056" s="1571"/>
      <c r="P1056" s="1571"/>
      <c r="Q1056" s="1571"/>
      <c r="R1056" s="1571"/>
      <c r="S1056" s="1571"/>
      <c r="T1056" s="1571"/>
      <c r="U1056" s="1571"/>
      <c r="V1056" s="1571"/>
      <c r="W1056" s="1571"/>
      <c r="X1056" s="1571"/>
      <c r="Y1056" s="1571"/>
      <c r="Z1056" s="1571"/>
      <c r="AA1056" s="1571"/>
      <c r="AB1056" s="1571"/>
      <c r="AC1056" s="1571"/>
      <c r="AD1056" s="1571"/>
      <c r="AE1056" s="1572"/>
      <c r="AF1056" s="73"/>
      <c r="AG1056" s="443"/>
      <c r="AH1056" s="443"/>
      <c r="AI1056" s="83"/>
      <c r="AJ1056" s="1374"/>
      <c r="AK1056" s="1375"/>
      <c r="AL1056" s="1375"/>
      <c r="AM1056" s="1375"/>
      <c r="AN1056" s="1375"/>
      <c r="AO1056" s="1375"/>
      <c r="AP1056" s="1375"/>
      <c r="AQ1056" s="1376"/>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 customHeight="1">
      <c r="A1057" s="14"/>
      <c r="B1057" s="77"/>
      <c r="C1057" s="78"/>
      <c r="D1057" s="132" t="s">
        <v>971</v>
      </c>
      <c r="E1057" s="133"/>
      <c r="F1057" s="133"/>
      <c r="G1057" s="133"/>
      <c r="H1057" s="133"/>
      <c r="I1057" s="1575">
        <f>AY1012</f>
        <v>93</v>
      </c>
      <c r="J1057" s="1576"/>
      <c r="K1057" s="7"/>
      <c r="L1057" s="133"/>
      <c r="M1057" s="133"/>
      <c r="N1057" s="133"/>
      <c r="O1057" s="133"/>
      <c r="P1057" s="133"/>
      <c r="Q1057" s="133"/>
      <c r="R1057" s="133"/>
      <c r="S1057" s="133"/>
      <c r="T1057" s="133"/>
      <c r="U1057" s="133"/>
      <c r="V1057" s="134" t="s">
        <v>972</v>
      </c>
      <c r="W1057" s="48"/>
      <c r="X1057" s="1573">
        <f>CI761</f>
        <v>46</v>
      </c>
      <c r="Y1057" s="1574"/>
      <c r="Z1057" s="48"/>
      <c r="AA1057" s="48"/>
      <c r="AB1057" s="48"/>
      <c r="AC1057" s="48"/>
      <c r="AD1057" s="48"/>
      <c r="AE1057" s="49"/>
      <c r="AF1057" s="920"/>
      <c r="AG1057" s="921"/>
      <c r="AH1057" s="921"/>
      <c r="AI1057" s="922"/>
      <c r="AJ1057" s="1377"/>
      <c r="AK1057" s="1378"/>
      <c r="AL1057" s="1378"/>
      <c r="AM1057" s="1378"/>
      <c r="AN1057" s="1378"/>
      <c r="AO1057" s="1378"/>
      <c r="AP1057" s="1378"/>
      <c r="AQ1057" s="1379"/>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 customHeight="1">
      <c r="A1058" s="14"/>
      <c r="B1058" s="79"/>
      <c r="C1058" s="131" t="s">
        <v>1673</v>
      </c>
      <c r="D1058" s="1567" t="s">
        <v>2123</v>
      </c>
      <c r="E1058" s="1568"/>
      <c r="F1058" s="1568"/>
      <c r="G1058" s="1568"/>
      <c r="H1058" s="1568"/>
      <c r="I1058" s="1568"/>
      <c r="J1058" s="1568"/>
      <c r="K1058" s="1568"/>
      <c r="L1058" s="1568"/>
      <c r="M1058" s="1568"/>
      <c r="N1058" s="1568"/>
      <c r="O1058" s="1568"/>
      <c r="P1058" s="1568"/>
      <c r="Q1058" s="1568"/>
      <c r="R1058" s="1568"/>
      <c r="S1058" s="1568"/>
      <c r="T1058" s="1568"/>
      <c r="U1058" s="1568"/>
      <c r="V1058" s="1568"/>
      <c r="W1058" s="1568"/>
      <c r="X1058" s="1568"/>
      <c r="Y1058" s="1568"/>
      <c r="Z1058" s="1568"/>
      <c r="AA1058" s="1568"/>
      <c r="AB1058" s="1568"/>
      <c r="AC1058" s="1568"/>
      <c r="AD1058" s="1568"/>
      <c r="AE1058" s="1569"/>
      <c r="AF1058" s="73"/>
      <c r="AG1058" s="1577" t="str">
        <f>IF(X1061&gt;0,"Yes","No")</f>
        <v>Yes</v>
      </c>
      <c r="AH1058" s="1578"/>
      <c r="AI1058" s="83"/>
      <c r="AJ1058" s="1371">
        <f>IF((X1061=0),0,(2*AY1015)*AJ1001)</f>
        <v>45929072</v>
      </c>
      <c r="AK1058" s="1372"/>
      <c r="AL1058" s="1372"/>
      <c r="AM1058" s="1372"/>
      <c r="AN1058" s="1372"/>
      <c r="AO1058" s="1372"/>
      <c r="AP1058" s="1372"/>
      <c r="AQ1058" s="1373"/>
      <c r="AR1058" s="68"/>
      <c r="AS1058" s="68"/>
      <c r="AT1058" s="68"/>
      <c r="AU1058" s="14"/>
      <c r="AV1058" s="68"/>
      <c r="AW1058" s="68"/>
      <c r="AX1058" s="68"/>
      <c r="AY1058" s="68"/>
      <c r="AZ1058" s="958">
        <f>AZ1054*BA1058</f>
        <v>0</v>
      </c>
      <c r="BA1058" s="1175">
        <v>0.15</v>
      </c>
      <c r="BB1058" s="3" t="s">
        <v>2407</v>
      </c>
      <c r="BC1058" s="3" t="s">
        <v>2411</v>
      </c>
      <c r="BD1058" s="3"/>
    </row>
    <row r="1059" spans="1:56" ht="12.9" customHeight="1">
      <c r="A1059" s="14"/>
      <c r="B1059" s="73"/>
      <c r="C1059" s="442"/>
      <c r="D1059" s="1570" t="s">
        <v>1296</v>
      </c>
      <c r="E1059" s="1571"/>
      <c r="F1059" s="1571"/>
      <c r="G1059" s="1571"/>
      <c r="H1059" s="1571"/>
      <c r="I1059" s="1571"/>
      <c r="J1059" s="1571"/>
      <c r="K1059" s="1571"/>
      <c r="L1059" s="1571"/>
      <c r="M1059" s="1571"/>
      <c r="N1059" s="1571"/>
      <c r="O1059" s="1571"/>
      <c r="P1059" s="1571"/>
      <c r="Q1059" s="1571"/>
      <c r="R1059" s="1571"/>
      <c r="S1059" s="1571"/>
      <c r="T1059" s="1571"/>
      <c r="U1059" s="1571"/>
      <c r="V1059" s="1571"/>
      <c r="W1059" s="1571"/>
      <c r="X1059" s="1571"/>
      <c r="Y1059" s="1571"/>
      <c r="Z1059" s="1571"/>
      <c r="AA1059" s="1571"/>
      <c r="AB1059" s="1571"/>
      <c r="AC1059" s="1571"/>
      <c r="AD1059" s="1571"/>
      <c r="AE1059" s="1572"/>
      <c r="AF1059" s="73"/>
      <c r="AG1059" s="443"/>
      <c r="AH1059" s="443"/>
      <c r="AI1059" s="83"/>
      <c r="AJ1059" s="1374"/>
      <c r="AK1059" s="1375"/>
      <c r="AL1059" s="1375"/>
      <c r="AM1059" s="1375"/>
      <c r="AN1059" s="1375"/>
      <c r="AO1059" s="1375"/>
      <c r="AP1059" s="1375"/>
      <c r="AQ1059" s="1376"/>
      <c r="AR1059" s="68"/>
      <c r="AS1059" s="68"/>
      <c r="AT1059" s="68"/>
      <c r="AU1059" s="68"/>
      <c r="AV1059" s="68"/>
      <c r="AW1059" s="68"/>
      <c r="AX1059" s="68"/>
      <c r="AY1059" s="68"/>
      <c r="AZ1059" s="958"/>
      <c r="BA1059" s="3"/>
      <c r="BB1059" s="3"/>
      <c r="BC1059" s="3"/>
      <c r="BD1059" s="3"/>
    </row>
    <row r="1060" spans="1:56" ht="12.9" customHeight="1">
      <c r="A1060" s="14"/>
      <c r="B1060" s="73"/>
      <c r="C1060" s="83"/>
      <c r="D1060" s="1570"/>
      <c r="E1060" s="1571"/>
      <c r="F1060" s="1571"/>
      <c r="G1060" s="1571"/>
      <c r="H1060" s="1571"/>
      <c r="I1060" s="1571"/>
      <c r="J1060" s="1571"/>
      <c r="K1060" s="1571"/>
      <c r="L1060" s="1571"/>
      <c r="M1060" s="1571"/>
      <c r="N1060" s="1571"/>
      <c r="O1060" s="1571"/>
      <c r="P1060" s="1571"/>
      <c r="Q1060" s="1571"/>
      <c r="R1060" s="1571"/>
      <c r="S1060" s="1571"/>
      <c r="T1060" s="1571"/>
      <c r="U1060" s="1571"/>
      <c r="V1060" s="1571"/>
      <c r="W1060" s="1571"/>
      <c r="X1060" s="1571"/>
      <c r="Y1060" s="1571"/>
      <c r="Z1060" s="1571"/>
      <c r="AA1060" s="1571"/>
      <c r="AB1060" s="1571"/>
      <c r="AC1060" s="1571"/>
      <c r="AD1060" s="1571"/>
      <c r="AE1060" s="1572"/>
      <c r="AF1060" s="917"/>
      <c r="AG1060" s="918"/>
      <c r="AH1060" s="918"/>
      <c r="AI1060" s="919"/>
      <c r="AJ1060" s="1374"/>
      <c r="AK1060" s="1375"/>
      <c r="AL1060" s="1375"/>
      <c r="AM1060" s="1375"/>
      <c r="AN1060" s="1375"/>
      <c r="AO1060" s="1375"/>
      <c r="AP1060" s="1375"/>
      <c r="AQ1060" s="1376"/>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575">
        <f>AY1012</f>
        <v>93</v>
      </c>
      <c r="J1061" s="1576"/>
      <c r="K1061" s="14"/>
      <c r="L1061" s="133"/>
      <c r="M1061" s="133"/>
      <c r="N1061" s="133"/>
      <c r="O1061" s="133"/>
      <c r="P1061" s="133"/>
      <c r="Q1061" s="133"/>
      <c r="R1061" s="133"/>
      <c r="S1061" s="133"/>
      <c r="T1061" s="133"/>
      <c r="U1061" s="133"/>
      <c r="V1061" s="134" t="s">
        <v>973</v>
      </c>
      <c r="X1061" s="1573">
        <f>CM761</f>
        <v>47</v>
      </c>
      <c r="Y1061" s="1574"/>
      <c r="AF1061" s="920"/>
      <c r="AG1061" s="921"/>
      <c r="AH1061" s="921"/>
      <c r="AI1061" s="922"/>
      <c r="AJ1061" s="1377"/>
      <c r="AK1061" s="1378"/>
      <c r="AL1061" s="1378"/>
      <c r="AM1061" s="1378"/>
      <c r="AN1061" s="1378"/>
      <c r="AO1061" s="1378"/>
      <c r="AP1061" s="1378"/>
      <c r="AQ1061" s="1379"/>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 customHeight="1">
      <c r="A1062" s="14"/>
      <c r="B1062" s="102"/>
      <c r="C1062" s="103"/>
      <c r="D1062" s="1565" t="s">
        <v>513</v>
      </c>
      <c r="E1062" s="1565"/>
      <c r="F1062" s="1565"/>
      <c r="G1062" s="1565"/>
      <c r="H1062" s="1565"/>
      <c r="I1062" s="1565"/>
      <c r="J1062" s="1565"/>
      <c r="K1062" s="1565"/>
      <c r="L1062" s="1565"/>
      <c r="M1062" s="1565"/>
      <c r="N1062" s="1565"/>
      <c r="O1062" s="1565"/>
      <c r="P1062" s="1565"/>
      <c r="Q1062" s="1565"/>
      <c r="R1062" s="1565"/>
      <c r="S1062" s="1565"/>
      <c r="T1062" s="1565"/>
      <c r="U1062" s="1565"/>
      <c r="V1062" s="1565"/>
      <c r="W1062" s="1565"/>
      <c r="X1062" s="1565"/>
      <c r="Y1062" s="1565"/>
      <c r="Z1062" s="1565"/>
      <c r="AA1062" s="1565"/>
      <c r="AB1062" s="1565"/>
      <c r="AC1062" s="1565"/>
      <c r="AD1062" s="1565"/>
      <c r="AE1062" s="1565"/>
      <c r="AF1062" s="1565"/>
      <c r="AG1062" s="1565"/>
      <c r="AH1062" s="1565"/>
      <c r="AI1062" s="1566"/>
      <c r="AJ1062" s="1595">
        <f>SUM(AJ1001:AQ1061)</f>
        <v>134197236.28</v>
      </c>
      <c r="AK1062" s="1596"/>
      <c r="AL1062" s="1596"/>
      <c r="AM1062" s="1596"/>
      <c r="AN1062" s="1596"/>
      <c r="AO1062" s="1596"/>
      <c r="AP1062" s="1596"/>
      <c r="AQ1062" s="1597"/>
      <c r="AR1062" s="68"/>
      <c r="AS1062" s="68"/>
      <c r="AT1062" s="68"/>
      <c r="AU1062" s="68"/>
      <c r="AV1062" s="68"/>
      <c r="AW1062" s="68"/>
      <c r="AX1062" s="68"/>
      <c r="AY1062" s="68"/>
      <c r="AZ1062" s="1174">
        <v>6000000</v>
      </c>
      <c r="BA1062" s="3" t="s">
        <v>2414</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3">
        <f>'Sources and Uses Budget'!S107+'Sources and Uses Budget'!T107</f>
        <v>55337736</v>
      </c>
      <c r="AB1065" s="1343"/>
      <c r="AC1065" s="1343"/>
      <c r="AD1065" s="1343"/>
      <c r="AE1065" s="1343"/>
      <c r="AF1065" s="134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7700660.3999999994</v>
      </c>
      <c r="BB1065" s="3" t="s">
        <v>2416</v>
      </c>
      <c r="BC1065" s="3"/>
      <c r="BD1065" s="3"/>
    </row>
    <row r="1066" spans="1:56" ht="12.9"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78">
        <f>IFERROR((AA1065-BA1068)/(AJ1062-AJ1054-AJ1058),"")</f>
        <v>0.81866402554302675</v>
      </c>
      <c r="AB1066" s="1879"/>
      <c r="AC1066" s="1879"/>
      <c r="AD1066" s="1879"/>
      <c r="AE1066" s="1879"/>
      <c r="AF1066" s="188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88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c r="AL1067" s="1881"/>
      <c r="AM1067" s="1881"/>
      <c r="AN1067" s="1881"/>
      <c r="AO1067" s="68"/>
      <c r="AP1067" s="68"/>
      <c r="AQ1067" s="68"/>
      <c r="AR1067" s="68"/>
      <c r="AS1067" s="68"/>
      <c r="AT1067" s="68"/>
      <c r="AU1067" s="68"/>
      <c r="AV1067" s="14"/>
      <c r="AW1067" s="14"/>
      <c r="AX1067" s="14"/>
      <c r="AY1067" s="14"/>
      <c r="BA1067" s="1178">
        <f>'Sources and Uses Budget'!$S$104+'Sources and Uses Budget'!$T$104</f>
        <v>4000000</v>
      </c>
      <c r="BB1067" s="3" t="s">
        <v>2422</v>
      </c>
    </row>
    <row r="1068" spans="1:56" ht="12.9" customHeight="1">
      <c r="A1068" s="14"/>
      <c r="B1068" s="14"/>
      <c r="C1068" s="208"/>
      <c r="D1068" s="854"/>
      <c r="E1068" s="854"/>
      <c r="F1068" s="854"/>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c r="AL1068" s="1881"/>
      <c r="AM1068" s="1881"/>
      <c r="AN1068" s="1881"/>
      <c r="AO1068" s="68"/>
      <c r="AP1068" s="68"/>
      <c r="AQ1068" s="68"/>
      <c r="AR1068" s="68"/>
      <c r="AS1068" s="68"/>
      <c r="AT1068" s="68"/>
      <c r="AU1068" s="68"/>
      <c r="AV1068" s="14"/>
      <c r="AW1068" s="14"/>
      <c r="AX1068" s="14"/>
      <c r="AY1068" s="14"/>
      <c r="BA1068" s="1179">
        <f>MAX($BA$1067-$BA$1064,0)</f>
        <v>1500000</v>
      </c>
      <c r="BB1068" s="3" t="s">
        <v>2423</v>
      </c>
    </row>
    <row r="1069" spans="1:56" ht="12.9" customHeight="1">
      <c r="A1069" s="88"/>
      <c r="B1069" s="1165"/>
      <c r="C1069" s="1165"/>
      <c r="D1069" s="1165"/>
      <c r="E1069" s="1165"/>
      <c r="F1069" s="1165"/>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1881"/>
      <c r="AM1069" s="1881"/>
      <c r="AN1069" s="1881"/>
      <c r="AO1069" s="1165"/>
      <c r="AP1069" s="1165"/>
      <c r="AQ1069" s="68"/>
      <c r="AR1069" s="68"/>
      <c r="AS1069" s="68"/>
      <c r="AT1069" s="68"/>
      <c r="AU1069" s="68"/>
      <c r="AV1069" s="68"/>
      <c r="AW1069" s="68"/>
      <c r="AX1069" s="68"/>
      <c r="AY1069" s="68"/>
    </row>
    <row r="1070" spans="1:56" ht="12.9" customHeight="1">
      <c r="A1070" s="1348" t="s">
        <v>794</v>
      </c>
      <c r="B1070" s="1348"/>
      <c r="C1070" s="1348"/>
      <c r="D1070" s="1348"/>
      <c r="E1070" s="1348"/>
      <c r="F1070" s="1348"/>
      <c r="G1070" s="1348"/>
      <c r="H1070" s="1348"/>
      <c r="I1070" s="1348"/>
      <c r="J1070" s="1348"/>
      <c r="K1070" s="1348"/>
      <c r="L1070" s="1348"/>
      <c r="M1070" s="1348"/>
      <c r="N1070" s="1348"/>
      <c r="O1070" s="1348"/>
      <c r="P1070" s="1348"/>
      <c r="Q1070" s="1348"/>
      <c r="R1070" s="1348"/>
      <c r="S1070" s="1348"/>
      <c r="T1070" s="1348"/>
      <c r="U1070" s="1348"/>
      <c r="V1070" s="1348"/>
      <c r="W1070" s="1348"/>
      <c r="X1070" s="1348"/>
      <c r="Y1070" s="1348"/>
      <c r="Z1070" s="1348"/>
      <c r="AA1070" s="1348"/>
      <c r="AB1070" s="1348"/>
      <c r="AC1070" s="1348"/>
      <c r="AD1070" s="1348"/>
      <c r="AE1070" s="1348"/>
      <c r="AF1070" s="1348"/>
      <c r="AG1070" s="1348"/>
      <c r="AH1070" s="1348"/>
      <c r="AI1070" s="1348"/>
      <c r="AJ1070" s="1348"/>
      <c r="AK1070" s="1348"/>
      <c r="AL1070" s="1348"/>
      <c r="AM1070" s="1348"/>
      <c r="AN1070" s="1348"/>
      <c r="AO1070" s="1348"/>
      <c r="AP1070" s="1348"/>
      <c r="AQ1070" s="1348"/>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44" t="s">
        <v>545</v>
      </c>
      <c r="B1074" s="1344"/>
      <c r="C1074" s="1345">
        <v>1</v>
      </c>
      <c r="D1074" s="1345"/>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345"/>
      <c r="D1075" s="134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44" t="s">
        <v>591</v>
      </c>
      <c r="B1076" s="1344"/>
      <c r="C1076" s="1345">
        <v>2</v>
      </c>
      <c r="D1076" s="1345"/>
      <c r="E1076" s="1347" t="s">
        <v>2190</v>
      </c>
      <c r="F1076" s="1347"/>
      <c r="G1076" s="1347"/>
      <c r="H1076" s="1347"/>
      <c r="I1076" s="1347"/>
      <c r="J1076" s="1347"/>
      <c r="K1076" s="1347"/>
      <c r="L1076" s="1347"/>
      <c r="M1076" s="1347"/>
      <c r="N1076" s="1347"/>
      <c r="O1076" s="1347"/>
      <c r="P1076" s="1347"/>
      <c r="Q1076" s="1347"/>
      <c r="R1076" s="1347"/>
      <c r="S1076" s="1347"/>
      <c r="T1076" s="1347"/>
      <c r="U1076" s="1347"/>
      <c r="V1076" s="1347"/>
      <c r="W1076" s="1347"/>
      <c r="X1076" s="1347"/>
      <c r="Y1076" s="1347"/>
      <c r="Z1076" s="1347"/>
      <c r="AA1076" s="1347"/>
      <c r="AB1076" s="1347"/>
      <c r="AC1076" s="1347"/>
      <c r="AD1076" s="1347"/>
      <c r="AE1076" s="1347"/>
      <c r="AF1076" s="1347"/>
      <c r="AG1076" s="1347"/>
      <c r="AH1076" s="1347"/>
      <c r="AI1076" s="1347"/>
      <c r="AJ1076" s="1347"/>
      <c r="AK1076" s="1347"/>
      <c r="AL1076" s="1347"/>
      <c r="AM1076" s="1347"/>
      <c r="AN1076" s="1347"/>
      <c r="AO1076" s="1347"/>
      <c r="AP1076" s="1347"/>
      <c r="AQ1076" s="1347"/>
      <c r="AR1076" s="1347"/>
      <c r="AS1076" s="14"/>
      <c r="AT1076" s="14"/>
      <c r="AV1076" s="68"/>
      <c r="AW1076" s="68"/>
      <c r="AX1076" s="68"/>
      <c r="AY1076" s="68"/>
    </row>
    <row r="1077" spans="1:51" ht="12.9" customHeight="1">
      <c r="A1077" s="198"/>
      <c r="B1077" s="67"/>
      <c r="C1077" s="1345"/>
      <c r="D1077" s="1345"/>
      <c r="E1077" s="1347"/>
      <c r="F1077" s="1347"/>
      <c r="G1077" s="1347"/>
      <c r="H1077" s="1347"/>
      <c r="I1077" s="1347"/>
      <c r="J1077" s="1347"/>
      <c r="K1077" s="1347"/>
      <c r="L1077" s="1347"/>
      <c r="M1077" s="1347"/>
      <c r="N1077" s="1347"/>
      <c r="O1077" s="1347"/>
      <c r="P1077" s="1347"/>
      <c r="Q1077" s="1347"/>
      <c r="R1077" s="1347"/>
      <c r="S1077" s="1347"/>
      <c r="T1077" s="1347"/>
      <c r="U1077" s="1347"/>
      <c r="V1077" s="1347"/>
      <c r="W1077" s="1347"/>
      <c r="X1077" s="1347"/>
      <c r="Y1077" s="1347"/>
      <c r="Z1077" s="1347"/>
      <c r="AA1077" s="1347"/>
      <c r="AB1077" s="1347"/>
      <c r="AC1077" s="1347"/>
      <c r="AD1077" s="1347"/>
      <c r="AE1077" s="1347"/>
      <c r="AF1077" s="1347"/>
      <c r="AG1077" s="1347"/>
      <c r="AH1077" s="1347"/>
      <c r="AI1077" s="1347"/>
      <c r="AJ1077" s="1347"/>
      <c r="AK1077" s="1347"/>
      <c r="AL1077" s="1347"/>
      <c r="AM1077" s="1347"/>
      <c r="AN1077" s="1347"/>
      <c r="AO1077" s="1347"/>
      <c r="AP1077" s="1347"/>
      <c r="AQ1077" s="1347"/>
      <c r="AR1077" s="1347"/>
      <c r="AS1077" s="14"/>
      <c r="AT1077" s="14"/>
      <c r="AV1077" s="68"/>
      <c r="AW1077" s="68"/>
      <c r="AX1077" s="68"/>
      <c r="AY1077" s="68"/>
    </row>
    <row r="1078" spans="1:51" ht="12.9" customHeight="1">
      <c r="A1078" s="198"/>
      <c r="B1078" s="67"/>
      <c r="C1078" s="1345"/>
      <c r="D1078" s="134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44" t="s">
        <v>591</v>
      </c>
      <c r="B1079" s="1344"/>
      <c r="C1079" s="1346">
        <v>3</v>
      </c>
      <c r="D1079" s="1346"/>
      <c r="E1079" s="1301" t="s">
        <v>1079</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 customHeight="1">
      <c r="A1080" s="1"/>
      <c r="B1080" s="1"/>
      <c r="C1080" s="1346"/>
      <c r="D1080" s="1346"/>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 customHeight="1">
      <c r="A1081" s="1"/>
      <c r="B1081" s="1"/>
      <c r="C1081" s="1346"/>
      <c r="D1081" s="1346"/>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 customHeight="1">
      <c r="A1082" s="1"/>
      <c r="B1082" s="1"/>
      <c r="C1082" s="1346"/>
      <c r="D1082" s="1346"/>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 customHeight="1">
      <c r="A1083" s="2"/>
      <c r="B1083" s="25"/>
      <c r="C1083" s="1346"/>
      <c r="D1083" s="134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44" t="s">
        <v>591</v>
      </c>
      <c r="B1084" s="1344"/>
      <c r="C1084" s="1346">
        <v>4</v>
      </c>
      <c r="D1084" s="1346"/>
      <c r="E1084" s="1301" t="s">
        <v>1078</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 customHeight="1">
      <c r="A1085" s="1"/>
      <c r="B1085" s="1"/>
      <c r="C1085" s="1346"/>
      <c r="D1085" s="1346"/>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 customHeight="1">
      <c r="A1086" s="1"/>
      <c r="B1086" s="1"/>
      <c r="C1086" s="1346"/>
      <c r="D1086" s="1346"/>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 customHeight="1">
      <c r="A1087" s="1"/>
      <c r="B1087" s="1"/>
      <c r="C1087" s="1346"/>
      <c r="D1087" s="1346"/>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 customHeight="1">
      <c r="A1088" s="1"/>
      <c r="B1088" s="1"/>
      <c r="C1088" s="1346"/>
      <c r="D1088" s="1346"/>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 customHeight="1">
      <c r="A1089" s="1"/>
      <c r="B1089" s="1"/>
      <c r="C1089" s="1346"/>
      <c r="D1089" s="134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44" t="s">
        <v>591</v>
      </c>
      <c r="B1090" s="1344"/>
      <c r="C1090" s="1346">
        <v>5</v>
      </c>
      <c r="D1090" s="1346"/>
      <c r="E1090" s="1301" t="s">
        <v>2193</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 customHeight="1">
      <c r="A1091" s="4"/>
      <c r="B1091" s="4"/>
      <c r="C1091" s="1346"/>
      <c r="D1091" s="1346"/>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 customHeight="1">
      <c r="A1092" s="4"/>
      <c r="B1092" s="4"/>
      <c r="C1092" s="1346"/>
      <c r="D1092" s="1346"/>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 customHeight="1">
      <c r="A1093" s="35"/>
      <c r="B1093" s="25"/>
      <c r="C1093" s="1346"/>
      <c r="D1093" s="134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44" t="s">
        <v>591</v>
      </c>
      <c r="B1094" s="1344"/>
      <c r="C1094" s="1346">
        <v>6</v>
      </c>
      <c r="D1094" s="1346"/>
      <c r="E1094" s="1301" t="s">
        <v>2194</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 customHeight="1">
      <c r="A1096" s="1"/>
      <c r="B1096" s="1"/>
      <c r="C1096" s="1346"/>
      <c r="D1096" s="1346"/>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 customHeight="1">
      <c r="A1097" s="35"/>
      <c r="B1097" s="25"/>
      <c r="C1097" s="1346"/>
      <c r="D1097" s="134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44" t="s">
        <v>591</v>
      </c>
      <c r="B1098" s="1344"/>
      <c r="C1098" s="1346">
        <v>7</v>
      </c>
      <c r="D1098" s="1346"/>
      <c r="E1098" s="1301" t="s">
        <v>2092</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 customHeight="1">
      <c r="A1099" s="1"/>
      <c r="B1099" s="1"/>
      <c r="C1099" s="1346"/>
      <c r="D1099" s="1346"/>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 customHeight="1">
      <c r="A1100" s="1"/>
      <c r="B1100" s="1"/>
      <c r="C1100" s="1346"/>
      <c r="D1100" s="1346"/>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 customHeight="1">
      <c r="A1101" s="1"/>
      <c r="B1101" s="1"/>
      <c r="C1101" s="1346"/>
      <c r="D1101" s="134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46"/>
      <c r="D1102" s="134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44" t="s">
        <v>591</v>
      </c>
      <c r="B1103" s="1344"/>
      <c r="C1103" s="1346">
        <v>8</v>
      </c>
      <c r="D1103" s="1346"/>
      <c r="E1103" s="1301" t="s">
        <v>1072</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 customHeight="1">
      <c r="A1104" s="35"/>
      <c r="B1104" s="25"/>
      <c r="C1104" s="1346"/>
      <c r="D1104" s="1346"/>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 customHeight="1">
      <c r="A1105" s="35"/>
      <c r="B1105" s="25"/>
      <c r="C1105" s="1346"/>
      <c r="D1105" s="134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44" t="s">
        <v>591</v>
      </c>
      <c r="B1106" s="1344"/>
      <c r="C1106" s="1345">
        <v>9</v>
      </c>
      <c r="D1106" s="1345"/>
      <c r="E1106" s="1301" t="s">
        <v>1074</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 customHeight="1">
      <c r="A1107" s="1"/>
      <c r="B1107" s="1"/>
      <c r="C1107" s="1345"/>
      <c r="D1107" s="1345"/>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 customHeight="1">
      <c r="A1108" s="35"/>
      <c r="B1108" s="25"/>
      <c r="C1108" s="1345"/>
      <c r="D1108" s="134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44" t="s">
        <v>591</v>
      </c>
      <c r="B1109" s="1344"/>
      <c r="C1109" s="1345">
        <v>10</v>
      </c>
      <c r="D1109" s="1345"/>
      <c r="E1109" s="1303" t="s">
        <v>2191</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44" t="s">
        <v>591</v>
      </c>
      <c r="B1112" s="1344"/>
      <c r="C1112" s="1345">
        <v>11</v>
      </c>
      <c r="D1112" s="1345"/>
      <c r="E1112" s="1303" t="s">
        <v>2192</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4" t="s">
        <v>591</v>
      </c>
      <c r="B1134" s="1344"/>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61:DS761"/>
    <mergeCell ref="DO799:DS799"/>
    <mergeCell ref="DO801:DS801"/>
    <mergeCell ref="DO803:DS803"/>
    <mergeCell ref="DO804:DS804"/>
    <mergeCell ref="DO805:DS805"/>
    <mergeCell ref="CI760:CJ760"/>
    <mergeCell ref="CI749:CJ749"/>
    <mergeCell ref="DO750:DS750"/>
    <mergeCell ref="DE753:DI753"/>
    <mergeCell ref="CZ755:DD755"/>
    <mergeCell ref="DE755:DI755"/>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DE802:DI802"/>
    <mergeCell ref="DE804:DI804"/>
    <mergeCell ref="CP759:CT759"/>
    <mergeCell ref="DE805:DI805"/>
    <mergeCell ref="CZ757:DD757"/>
    <mergeCell ref="CZ756:DD756"/>
    <mergeCell ref="CP785:CT785"/>
    <mergeCell ref="CP781:CT781"/>
    <mergeCell ref="CU785:CY785"/>
    <mergeCell ref="DO802:DS802"/>
    <mergeCell ref="DJ795:DN795"/>
    <mergeCell ref="DJ796:DN796"/>
    <mergeCell ref="DJ797:DN797"/>
    <mergeCell ref="DJ798:DN798"/>
    <mergeCell ref="DJ799:DN799"/>
    <mergeCell ref="DJ800:DN800"/>
    <mergeCell ref="DJ801:DN801"/>
    <mergeCell ref="DJ802:DN802"/>
    <mergeCell ref="CP743:CT743"/>
    <mergeCell ref="CG749:CH749"/>
    <mergeCell ref="CG750:CH750"/>
    <mergeCell ref="CK749:CL749"/>
    <mergeCell ref="CM749:CN749"/>
    <mergeCell ref="CI744:CJ744"/>
    <mergeCell ref="DE741:DI741"/>
    <mergeCell ref="CU743:CY743"/>
    <mergeCell ref="CK743:CL743"/>
    <mergeCell ref="CU795:CY795"/>
    <mergeCell ref="CU796:CY796"/>
    <mergeCell ref="CU797:CY797"/>
    <mergeCell ref="CU798:CY798"/>
    <mergeCell ref="CU799:CY799"/>
    <mergeCell ref="CU800:CY800"/>
    <mergeCell ref="CU801:CY801"/>
    <mergeCell ref="CU802:CY802"/>
    <mergeCell ref="CP746:CT746"/>
    <mergeCell ref="CZ753:DD753"/>
    <mergeCell ref="CZ758:DD758"/>
    <mergeCell ref="CK756:CL756"/>
    <mergeCell ref="CM756:CN756"/>
    <mergeCell ref="CG757:CH757"/>
    <mergeCell ref="CI756:CJ756"/>
    <mergeCell ref="CP758:CT758"/>
    <mergeCell ref="CU758:CY758"/>
    <mergeCell ref="AK755:AO755"/>
    <mergeCell ref="CU755:CY755"/>
    <mergeCell ref="AK751:AO751"/>
    <mergeCell ref="AK752:AO752"/>
    <mergeCell ref="AK754:AO754"/>
    <mergeCell ref="CI759:CJ759"/>
    <mergeCell ref="CM746:CN746"/>
    <mergeCell ref="AH758:AJ758"/>
    <mergeCell ref="AC740:AG740"/>
    <mergeCell ref="AC753:AG753"/>
    <mergeCell ref="AC754:AG754"/>
    <mergeCell ref="CI741:CJ741"/>
    <mergeCell ref="CG744:CH744"/>
    <mergeCell ref="CP740:CT740"/>
    <mergeCell ref="CU757:CY757"/>
    <mergeCell ref="CI755:CJ755"/>
    <mergeCell ref="CK755:CL755"/>
    <mergeCell ref="CM755:CN755"/>
    <mergeCell ref="CP750:CT750"/>
    <mergeCell ref="CP751:CT751"/>
    <mergeCell ref="CI753:CJ753"/>
    <mergeCell ref="CU752:CY752"/>
    <mergeCell ref="CU750:CY750"/>
    <mergeCell ref="CU741:CY741"/>
    <mergeCell ref="AK747:AO747"/>
    <mergeCell ref="AK743:AO743"/>
    <mergeCell ref="AK740:AO740"/>
    <mergeCell ref="AK741:AO741"/>
    <mergeCell ref="CU753:CY753"/>
    <mergeCell ref="CK760:CL760"/>
    <mergeCell ref="CM759:CN759"/>
    <mergeCell ref="CK754:CL754"/>
    <mergeCell ref="CM754:CN754"/>
    <mergeCell ref="CP754:CT754"/>
    <mergeCell ref="CM757:CN757"/>
    <mergeCell ref="CP757:CT757"/>
    <mergeCell ref="CK758:CL758"/>
    <mergeCell ref="CM758:CN758"/>
    <mergeCell ref="DJ755:DN755"/>
    <mergeCell ref="EE760:EI760"/>
    <mergeCell ref="CU760:CY760"/>
    <mergeCell ref="CU754:CY754"/>
    <mergeCell ref="CP755:CT755"/>
    <mergeCell ref="CU759:CY759"/>
    <mergeCell ref="ET759:EX759"/>
    <mergeCell ref="EJ759:EN759"/>
    <mergeCell ref="CZ760:DD760"/>
    <mergeCell ref="EJ755:EN755"/>
    <mergeCell ref="DJ758:DN758"/>
    <mergeCell ref="EO749:ES749"/>
    <mergeCell ref="FJ761:FN761"/>
    <mergeCell ref="FO758:FS758"/>
    <mergeCell ref="DJ752:DN752"/>
    <mergeCell ref="FE761:FI761"/>
    <mergeCell ref="EE758:EI758"/>
    <mergeCell ref="EJ758:EN758"/>
    <mergeCell ref="EO758:ES758"/>
    <mergeCell ref="ET758:EX758"/>
    <mergeCell ref="DO752:DS752"/>
    <mergeCell ref="ET757:EX757"/>
    <mergeCell ref="DU754:DY754"/>
    <mergeCell ref="DZ754:ED754"/>
    <mergeCell ref="EE754:EI754"/>
    <mergeCell ref="EJ754:EN754"/>
    <mergeCell ref="EO754:ES754"/>
    <mergeCell ref="ET754:EX754"/>
    <mergeCell ref="FO755:FS755"/>
    <mergeCell ref="EJ761:EN761"/>
    <mergeCell ref="FO759:FS759"/>
    <mergeCell ref="EZ761:FD761"/>
    <mergeCell ref="DO755:DS755"/>
    <mergeCell ref="DO757:DS757"/>
    <mergeCell ref="DJ756:DN756"/>
    <mergeCell ref="DO756:DS756"/>
    <mergeCell ref="FO761:FS761"/>
    <mergeCell ref="FE756:FI756"/>
    <mergeCell ref="FJ756:FN756"/>
    <mergeCell ref="FO756:FS756"/>
    <mergeCell ref="EZ753:FD753"/>
    <mergeCell ref="EO761:ES761"/>
    <mergeCell ref="EO755:ES755"/>
    <mergeCell ref="FT757:FX757"/>
    <mergeCell ref="FJ755:FN755"/>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DJ753:DN753"/>
    <mergeCell ref="DO753:DS753"/>
    <mergeCell ref="EZ751:FD751"/>
    <mergeCell ref="DU750:DY750"/>
    <mergeCell ref="DZ750:ED750"/>
    <mergeCell ref="ET750:EX750"/>
    <mergeCell ref="ET755:EX755"/>
    <mergeCell ref="DU756:DY756"/>
    <mergeCell ref="DZ756:ED756"/>
    <mergeCell ref="EE756:EI756"/>
    <mergeCell ref="EJ756:EN756"/>
    <mergeCell ref="EO756:ES756"/>
    <mergeCell ref="ET756:EX756"/>
    <mergeCell ref="DJ757:DN757"/>
    <mergeCell ref="FO754:FS754"/>
    <mergeCell ref="FY751:GC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W644:FA644"/>
    <mergeCell ref="ER645:EV645"/>
    <mergeCell ref="EZ756:FD756"/>
    <mergeCell ref="FY757:GC757"/>
    <mergeCell ref="FY756:GC756"/>
    <mergeCell ref="FY754:GC754"/>
    <mergeCell ref="EZ755:FD755"/>
    <mergeCell ref="FE755:FI755"/>
    <mergeCell ref="FT748:FX748"/>
    <mergeCell ref="CK752:CL752"/>
    <mergeCell ref="CM752:CN752"/>
    <mergeCell ref="CK747:CL747"/>
    <mergeCell ref="CI750:CJ750"/>
    <mergeCell ref="CG755:CH755"/>
    <mergeCell ref="AH752:AJ752"/>
    <mergeCell ref="CZ748:DD748"/>
    <mergeCell ref="CU749:CY749"/>
    <mergeCell ref="CZ747:DD747"/>
    <mergeCell ref="ET753:EX753"/>
    <mergeCell ref="CM750:CN750"/>
    <mergeCell ref="DU749:DY749"/>
    <mergeCell ref="DZ749:ED749"/>
    <mergeCell ref="DU753:DY753"/>
    <mergeCell ref="DZ753:ED753"/>
    <mergeCell ref="CU748:CY748"/>
    <mergeCell ref="EJ753:EN753"/>
    <mergeCell ref="CI748:CJ748"/>
    <mergeCell ref="CU751:CY751"/>
    <mergeCell ref="CZ751:DD751"/>
    <mergeCell ref="DE751:DI751"/>
    <mergeCell ref="CG753:CH753"/>
    <mergeCell ref="CK751:CL751"/>
    <mergeCell ref="CM751:CN751"/>
    <mergeCell ref="DE750:DI750"/>
    <mergeCell ref="CM747:CN747"/>
    <mergeCell ref="DJ751:DN751"/>
    <mergeCell ref="DO751:DS751"/>
    <mergeCell ref="CP747:CT747"/>
    <mergeCell ref="ET749:EX749"/>
    <mergeCell ref="EJ749:EN749"/>
    <mergeCell ref="FT749:FX749"/>
    <mergeCell ref="EZ747:FD747"/>
    <mergeCell ref="FE749:FI749"/>
    <mergeCell ref="FJ749:FN749"/>
    <mergeCell ref="FO749:FS749"/>
    <mergeCell ref="CG752:CH752"/>
    <mergeCell ref="CI752:CJ752"/>
    <mergeCell ref="CM753:CN753"/>
    <mergeCell ref="CG754:CH754"/>
    <mergeCell ref="CI754:CJ754"/>
    <mergeCell ref="CI747:CJ747"/>
    <mergeCell ref="O753:S753"/>
    <mergeCell ref="AK750:AO750"/>
    <mergeCell ref="CP753:CT753"/>
    <mergeCell ref="CK742:CL742"/>
    <mergeCell ref="CZ725:DD725"/>
    <mergeCell ref="CI730:CJ730"/>
    <mergeCell ref="DE743:DI743"/>
    <mergeCell ref="CM743:CN743"/>
    <mergeCell ref="CI740:CJ740"/>
    <mergeCell ref="CP742:CT742"/>
    <mergeCell ref="CK741:CL741"/>
    <mergeCell ref="CI742:CJ742"/>
    <mergeCell ref="CK740:CL740"/>
    <mergeCell ref="CI751:CJ751"/>
    <mergeCell ref="EJ750:EN750"/>
    <mergeCell ref="EO750:ES750"/>
    <mergeCell ref="DO749:DS749"/>
    <mergeCell ref="EJ752:EN752"/>
    <mergeCell ref="EO752:ES752"/>
    <mergeCell ref="DJ749:DN749"/>
    <mergeCell ref="FE747:FI747"/>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W569:Y569"/>
    <mergeCell ref="B509:H510"/>
    <mergeCell ref="O531:AA531"/>
    <mergeCell ref="AH535:AK535"/>
    <mergeCell ref="AC528:AF528"/>
    <mergeCell ref="D481:V481"/>
    <mergeCell ref="AH510:AK510"/>
    <mergeCell ref="AC507:AK507"/>
    <mergeCell ref="AH520:AK520"/>
    <mergeCell ref="W564:Y564"/>
    <mergeCell ref="Q564:S564"/>
    <mergeCell ref="Z563:AD563"/>
    <mergeCell ref="AC530:AF530"/>
    <mergeCell ref="T562:V562"/>
    <mergeCell ref="AC532:AF532"/>
    <mergeCell ref="AH514:AK514"/>
    <mergeCell ref="AM562:AS562"/>
    <mergeCell ref="AO647:AS647"/>
    <mergeCell ref="AO637:AS637"/>
    <mergeCell ref="AO646:AS646"/>
    <mergeCell ref="AC527:AF527"/>
    <mergeCell ref="AC531:AF531"/>
    <mergeCell ref="Z636:AB636"/>
    <mergeCell ref="AH515:AK515"/>
    <mergeCell ref="P580:R580"/>
    <mergeCell ref="M635:P635"/>
    <mergeCell ref="Z566:AD566"/>
    <mergeCell ref="D480:V480"/>
    <mergeCell ref="Z567:AD567"/>
    <mergeCell ref="W480:Y480"/>
    <mergeCell ref="AE559:AH561"/>
    <mergeCell ref="AI559:AL561"/>
    <mergeCell ref="AH518:AK518"/>
    <mergeCell ref="AA590:AK590"/>
    <mergeCell ref="H581:R581"/>
    <mergeCell ref="B574:AL574"/>
    <mergeCell ref="AE568:AH568"/>
    <mergeCell ref="N583:O583"/>
    <mergeCell ref="Z559:AD561"/>
    <mergeCell ref="AH521:AK521"/>
    <mergeCell ref="Z641:AB641"/>
    <mergeCell ref="AH516:AK516"/>
    <mergeCell ref="AC548:AF548"/>
    <mergeCell ref="AH538:AK538"/>
    <mergeCell ref="Z564:AD564"/>
    <mergeCell ref="AI563:AL563"/>
    <mergeCell ref="T566:V566"/>
    <mergeCell ref="AI564:AL564"/>
    <mergeCell ref="CP730:CT730"/>
    <mergeCell ref="CP726:CT726"/>
    <mergeCell ref="CI726:CJ726"/>
    <mergeCell ref="CI732:CJ732"/>
    <mergeCell ref="CM739:CN739"/>
    <mergeCell ref="O540:AA540"/>
    <mergeCell ref="AH544:AK544"/>
    <mergeCell ref="T642:V642"/>
    <mergeCell ref="AF642:AJ642"/>
    <mergeCell ref="W645:Y645"/>
    <mergeCell ref="Z586:AK586"/>
    <mergeCell ref="M645:P645"/>
    <mergeCell ref="N697:O697"/>
    <mergeCell ref="AA696:AK696"/>
    <mergeCell ref="AE710:AF710"/>
    <mergeCell ref="T738:W738"/>
    <mergeCell ref="T734:W734"/>
    <mergeCell ref="AH546:AK546"/>
    <mergeCell ref="Z667:AK667"/>
    <mergeCell ref="N599:O599"/>
    <mergeCell ref="AM565:AS565"/>
    <mergeCell ref="CP728:CT728"/>
    <mergeCell ref="CK726:CL726"/>
    <mergeCell ref="CI739:CJ739"/>
    <mergeCell ref="CI736:CJ736"/>
    <mergeCell ref="M563:P563"/>
    <mergeCell ref="AK727:AO727"/>
    <mergeCell ref="AM568:AS568"/>
    <mergeCell ref="AH542:AK542"/>
    <mergeCell ref="AI568:AL568"/>
    <mergeCell ref="AE563:AH563"/>
    <mergeCell ref="O543:AA543"/>
    <mergeCell ref="CG758:CH758"/>
    <mergeCell ref="Q493:AK493"/>
    <mergeCell ref="AC533:AF533"/>
    <mergeCell ref="W565:Y565"/>
    <mergeCell ref="AC534:AF534"/>
    <mergeCell ref="T564:V564"/>
    <mergeCell ref="W559:Y561"/>
    <mergeCell ref="AH531:AK531"/>
    <mergeCell ref="AC549:AF549"/>
    <mergeCell ref="CG756:CH756"/>
    <mergeCell ref="CK730:CL730"/>
    <mergeCell ref="AG697:AH697"/>
    <mergeCell ref="CK727:CL727"/>
    <mergeCell ref="CG732:CH732"/>
    <mergeCell ref="CG738:CH738"/>
    <mergeCell ref="CG736:CH736"/>
    <mergeCell ref="CI757:CJ757"/>
    <mergeCell ref="CK757:CL757"/>
    <mergeCell ref="AC729:AG729"/>
    <mergeCell ref="AH728:AJ728"/>
    <mergeCell ref="AH729:AJ729"/>
    <mergeCell ref="CG739:CH739"/>
    <mergeCell ref="Q499:AK499"/>
    <mergeCell ref="AH503:AK503"/>
    <mergeCell ref="AC517:AF517"/>
    <mergeCell ref="Q559:S561"/>
    <mergeCell ref="AC546:AF546"/>
    <mergeCell ref="AK742:AO742"/>
    <mergeCell ref="AM563:AS563"/>
    <mergeCell ref="AI565:AL565"/>
    <mergeCell ref="AH534:AK534"/>
    <mergeCell ref="AM559:AS561"/>
    <mergeCell ref="W562:Y562"/>
    <mergeCell ref="W563:Y563"/>
    <mergeCell ref="M562:P562"/>
    <mergeCell ref="Z562:AD562"/>
    <mergeCell ref="AH539:AK539"/>
    <mergeCell ref="AH548:AK548"/>
    <mergeCell ref="AC523:AF523"/>
    <mergeCell ref="T559:V561"/>
    <mergeCell ref="Z565:AD565"/>
    <mergeCell ref="L516:AB516"/>
    <mergeCell ref="O528:AA528"/>
    <mergeCell ref="AH526:AK526"/>
    <mergeCell ref="AC522:AF522"/>
    <mergeCell ref="AC535:AF535"/>
    <mergeCell ref="AH529:AK529"/>
    <mergeCell ref="AC538:AF538"/>
    <mergeCell ref="Q563:S563"/>
    <mergeCell ref="AC516:AF516"/>
    <mergeCell ref="AH545:AK545"/>
    <mergeCell ref="AC542:AF542"/>
    <mergeCell ref="AH550:AK550"/>
    <mergeCell ref="AH537:AK537"/>
    <mergeCell ref="AH547:AK547"/>
    <mergeCell ref="AH549:AK549"/>
    <mergeCell ref="AC543:AF543"/>
    <mergeCell ref="AI562:AL562"/>
    <mergeCell ref="T565:V565"/>
    <mergeCell ref="B525:H527"/>
    <mergeCell ref="D415:AJ416"/>
    <mergeCell ref="D454:AF454"/>
    <mergeCell ref="D460:AJ461"/>
    <mergeCell ref="AH527:AK527"/>
    <mergeCell ref="AH523:AK523"/>
    <mergeCell ref="AH513:AK513"/>
    <mergeCell ref="AH509:AK509"/>
    <mergeCell ref="G482:V482"/>
    <mergeCell ref="AC464:AF464"/>
    <mergeCell ref="D474:V474"/>
    <mergeCell ref="D473:V473"/>
    <mergeCell ref="AG458:AJ458"/>
    <mergeCell ref="Q502:AK502"/>
    <mergeCell ref="AG402:AJ402"/>
    <mergeCell ref="AC515:AF515"/>
    <mergeCell ref="AC545:AF545"/>
    <mergeCell ref="O534:AA534"/>
    <mergeCell ref="AC536:AF536"/>
    <mergeCell ref="AC541:AF541"/>
    <mergeCell ref="AC395:AJ395"/>
    <mergeCell ref="K412:AJ412"/>
    <mergeCell ref="D447:AF447"/>
    <mergeCell ref="S410:U410"/>
    <mergeCell ref="AG410:AJ410"/>
    <mergeCell ref="AG452:AJ452"/>
    <mergeCell ref="D452:AF452"/>
    <mergeCell ref="AC529:AF529"/>
    <mergeCell ref="AG453:AJ453"/>
    <mergeCell ref="D478:V478"/>
    <mergeCell ref="AG399:AJ399"/>
    <mergeCell ref="Q400:U400"/>
    <mergeCell ref="W475:Y475"/>
    <mergeCell ref="W478:Y478"/>
    <mergeCell ref="D479:V479"/>
    <mergeCell ref="AC463:AF463"/>
    <mergeCell ref="P434:Q434"/>
    <mergeCell ref="I427:K427"/>
    <mergeCell ref="S422:T422"/>
    <mergeCell ref="H423:AE424"/>
    <mergeCell ref="AE434:AF434"/>
    <mergeCell ref="AC465:AF465"/>
    <mergeCell ref="Q402:U402"/>
    <mergeCell ref="D455:AF455"/>
    <mergeCell ref="P433:Q433"/>
    <mergeCell ref="AH511:AK511"/>
    <mergeCell ref="AC508:AF508"/>
    <mergeCell ref="AH528:AK528"/>
    <mergeCell ref="AG459:AJ459"/>
    <mergeCell ref="AG404:AJ404"/>
    <mergeCell ref="AI398:AJ398"/>
    <mergeCell ref="E429:AJ429"/>
    <mergeCell ref="P352:AE352"/>
    <mergeCell ref="AA349:AF349"/>
    <mergeCell ref="P353:AE353"/>
    <mergeCell ref="AA347:AK347"/>
    <mergeCell ref="H346:R346"/>
    <mergeCell ref="P354:AE354"/>
    <mergeCell ref="R421:S421"/>
    <mergeCell ref="Q438:R438"/>
    <mergeCell ref="AC396:AJ396"/>
    <mergeCell ref="V397:AJ397"/>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E433:AF433"/>
    <mergeCell ref="N380:Q380"/>
    <mergeCell ref="V391:W391"/>
    <mergeCell ref="J376:K376"/>
    <mergeCell ref="S414:AJ414"/>
    <mergeCell ref="P355:AE355"/>
    <mergeCell ref="J396:U396"/>
    <mergeCell ref="AF427:AH427"/>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O159:T159"/>
    <mergeCell ref="T189:AE189"/>
    <mergeCell ref="P205:U20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5:V175"/>
    <mergeCell ref="A83:AT84"/>
    <mergeCell ref="T199:U199"/>
    <mergeCell ref="AC243:AE243"/>
    <mergeCell ref="D208:M208"/>
    <mergeCell ref="M242:AE242"/>
    <mergeCell ref="N191:AE192"/>
    <mergeCell ref="V229:W229"/>
    <mergeCell ref="M244:AE244"/>
    <mergeCell ref="I185:AE185"/>
    <mergeCell ref="O160:T160"/>
    <mergeCell ref="AI178:AK178"/>
    <mergeCell ref="Y120:AK120"/>
    <mergeCell ref="X180:Y18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R177:S177"/>
    <mergeCell ref="M252:AE252"/>
    <mergeCell ref="W243:X243"/>
    <mergeCell ref="T212:U212"/>
    <mergeCell ref="P113:S113"/>
    <mergeCell ref="F150:T150"/>
    <mergeCell ref="J173:S173"/>
    <mergeCell ref="AH255:AK255"/>
    <mergeCell ref="AP205:AQ205"/>
    <mergeCell ref="AI238:AJ238"/>
    <mergeCell ref="D204:M204"/>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D211:M211"/>
    <mergeCell ref="AI237:AJ237"/>
    <mergeCell ref="M260:AE260"/>
    <mergeCell ref="M247:T247"/>
    <mergeCell ref="T197:U197"/>
    <mergeCell ref="U245:W245"/>
    <mergeCell ref="M262:T262"/>
    <mergeCell ref="M270:T270"/>
    <mergeCell ref="AF252:AK252"/>
    <mergeCell ref="AF260:AK260"/>
    <mergeCell ref="M253:AE253"/>
    <mergeCell ref="M256:R256"/>
    <mergeCell ref="M243:T243"/>
    <mergeCell ref="W262:X262"/>
    <mergeCell ref="M261:AE261"/>
    <mergeCell ref="L283:AJ283"/>
    <mergeCell ref="H323:R323"/>
    <mergeCell ref="AA304:AK304"/>
    <mergeCell ref="AF268:AK268"/>
    <mergeCell ref="AC270:AE270"/>
    <mergeCell ref="M271:AE271"/>
    <mergeCell ref="AA308:AF308"/>
    <mergeCell ref="AI308:AK308"/>
    <mergeCell ref="AI324:AK324"/>
    <mergeCell ref="AA321:AK321"/>
    <mergeCell ref="AA330:AK330"/>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4:AK314"/>
    <mergeCell ref="AA326:AK326"/>
    <mergeCell ref="H322:R322"/>
    <mergeCell ref="Y287:AD287"/>
    <mergeCell ref="H306:R306"/>
    <mergeCell ref="AA309:AF309"/>
    <mergeCell ref="W270:X270"/>
    <mergeCell ref="AA320:AK320"/>
    <mergeCell ref="AA315:AK315"/>
    <mergeCell ref="AA312:AK312"/>
    <mergeCell ref="H313:R313"/>
    <mergeCell ref="H312:R312"/>
    <mergeCell ref="H316:M316"/>
    <mergeCell ref="D279:H279"/>
    <mergeCell ref="X279:AC279"/>
    <mergeCell ref="H320:R320"/>
    <mergeCell ref="H317:M317"/>
    <mergeCell ref="P316:R316"/>
    <mergeCell ref="AA316:AF316"/>
    <mergeCell ref="AA306:AK306"/>
    <mergeCell ref="H297:R297"/>
    <mergeCell ref="M266:T266"/>
    <mergeCell ref="M265:AE265"/>
    <mergeCell ref="AA317:AF317"/>
    <mergeCell ref="AC262:AE262"/>
    <mergeCell ref="M263:AE263"/>
    <mergeCell ref="AA299:AK299"/>
    <mergeCell ref="AH271:AK271"/>
    <mergeCell ref="T276:X276"/>
    <mergeCell ref="AA300:AF300"/>
    <mergeCell ref="AI300:AK300"/>
    <mergeCell ref="H305:R305"/>
    <mergeCell ref="T287:V287"/>
    <mergeCell ref="P300:R300"/>
    <mergeCell ref="AA296:AK296"/>
    <mergeCell ref="AA266:AK266"/>
    <mergeCell ref="M269:AE269"/>
    <mergeCell ref="AA274:AK274"/>
    <mergeCell ref="H304:R304"/>
    <mergeCell ref="AA307:AK307"/>
    <mergeCell ref="AA301:AF301"/>
    <mergeCell ref="H315:R315"/>
    <mergeCell ref="AA313:AK313"/>
    <mergeCell ref="AA318:AK318"/>
    <mergeCell ref="AA258:AK258"/>
    <mergeCell ref="M257:AE257"/>
    <mergeCell ref="AA336:AK336"/>
    <mergeCell ref="U272:W272"/>
    <mergeCell ref="P324:R324"/>
    <mergeCell ref="H314:R314"/>
    <mergeCell ref="AA297:AK297"/>
    <mergeCell ref="H296:R296"/>
    <mergeCell ref="U264:W264"/>
    <mergeCell ref="P308:R308"/>
    <mergeCell ref="H302:R302"/>
    <mergeCell ref="M273:AE273"/>
    <mergeCell ref="AB285:AD285"/>
    <mergeCell ref="AA333:AF333"/>
    <mergeCell ref="H328:R328"/>
    <mergeCell ref="AA325:AF325"/>
    <mergeCell ref="H325:M325"/>
    <mergeCell ref="AA328:AK328"/>
    <mergeCell ref="AA332:AF332"/>
    <mergeCell ref="AA329:AK329"/>
    <mergeCell ref="H326:R326"/>
    <mergeCell ref="P332:R332"/>
    <mergeCell ref="AA324:AF324"/>
    <mergeCell ref="L285:S285"/>
    <mergeCell ref="M272:R272"/>
    <mergeCell ref="M274:T274"/>
    <mergeCell ref="AA323:AK323"/>
    <mergeCell ref="AA322:AK322"/>
    <mergeCell ref="AI316:AK316"/>
    <mergeCell ref="H298:R298"/>
    <mergeCell ref="AA337:AK337"/>
    <mergeCell ref="AA339:AK339"/>
    <mergeCell ref="H333:M333"/>
    <mergeCell ref="H329:R329"/>
    <mergeCell ref="H332:M332"/>
    <mergeCell ref="H341:M341"/>
    <mergeCell ref="AA338:AK338"/>
    <mergeCell ref="AA334:AK334"/>
    <mergeCell ref="H324:M324"/>
    <mergeCell ref="H330:R330"/>
    <mergeCell ref="H331:R331"/>
    <mergeCell ref="H337:R337"/>
    <mergeCell ref="H338:R338"/>
    <mergeCell ref="H339:R339"/>
    <mergeCell ref="P340:R340"/>
    <mergeCell ref="H334:R334"/>
    <mergeCell ref="AI332:AK332"/>
    <mergeCell ref="H336:R336"/>
    <mergeCell ref="H300:M300"/>
    <mergeCell ref="H308:M308"/>
    <mergeCell ref="H309:M309"/>
    <mergeCell ref="L287:Q287"/>
    <mergeCell ref="AA298:AK298"/>
    <mergeCell ref="H307:R307"/>
    <mergeCell ref="H321:R321"/>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A340:AF340"/>
    <mergeCell ref="W477:Y477"/>
    <mergeCell ref="H340:M340"/>
    <mergeCell ref="H350:R350"/>
    <mergeCell ref="H344:R344"/>
    <mergeCell ref="AA342:AK342"/>
    <mergeCell ref="H348:M348"/>
    <mergeCell ref="AA345:AK345"/>
    <mergeCell ref="H342:R342"/>
    <mergeCell ref="AA348:AF348"/>
    <mergeCell ref="S497:AK498"/>
    <mergeCell ref="AG456:AJ456"/>
    <mergeCell ref="H347:R347"/>
    <mergeCell ref="AA341:AF341"/>
    <mergeCell ref="N372:O372"/>
    <mergeCell ref="AA346:AK346"/>
    <mergeCell ref="AD421:AE421"/>
    <mergeCell ref="M367:N367"/>
    <mergeCell ref="AG457:AJ457"/>
    <mergeCell ref="P358:AE358"/>
    <mergeCell ref="AG389:AH389"/>
    <mergeCell ref="M364:N364"/>
    <mergeCell ref="D448:AF448"/>
    <mergeCell ref="AI406:AJ406"/>
    <mergeCell ref="T408:AJ408"/>
    <mergeCell ref="AI348:AK348"/>
    <mergeCell ref="P357:Z357"/>
    <mergeCell ref="N382:AF383"/>
    <mergeCell ref="AJ364:AK364"/>
    <mergeCell ref="AG451:AJ451"/>
    <mergeCell ref="AG386:AH386"/>
    <mergeCell ref="AJ366:AK366"/>
    <mergeCell ref="AC394:AJ394"/>
    <mergeCell ref="S411:U411"/>
    <mergeCell ref="AE411:AJ411"/>
    <mergeCell ref="AI401:AJ401"/>
    <mergeCell ref="AG403:AJ403"/>
    <mergeCell ref="J397:U397"/>
    <mergeCell ref="P427:R427"/>
    <mergeCell ref="J395:U395"/>
    <mergeCell ref="T407:AJ407"/>
    <mergeCell ref="AG447:AJ447"/>
    <mergeCell ref="AG388:AH388"/>
    <mergeCell ref="S401:U401"/>
    <mergeCell ref="AA344:AK344"/>
    <mergeCell ref="H345:R345"/>
    <mergeCell ref="D450:AF450"/>
    <mergeCell ref="P356:Z356"/>
    <mergeCell ref="AG449:AJ449"/>
    <mergeCell ref="G676:R676"/>
    <mergeCell ref="AH753:AJ753"/>
    <mergeCell ref="AH754:AJ754"/>
    <mergeCell ref="AH755:AJ755"/>
    <mergeCell ref="AK737:AO737"/>
    <mergeCell ref="G738:J738"/>
    <mergeCell ref="X738:AB738"/>
    <mergeCell ref="G597:L597"/>
    <mergeCell ref="G691:R691"/>
    <mergeCell ref="N689:O689"/>
    <mergeCell ref="X727:AB727"/>
    <mergeCell ref="G694:R694"/>
    <mergeCell ref="C643:L643"/>
    <mergeCell ref="G579:R579"/>
    <mergeCell ref="C635:L635"/>
    <mergeCell ref="G587:R587"/>
    <mergeCell ref="G602:R602"/>
    <mergeCell ref="Z602:AK602"/>
    <mergeCell ref="W638:Y638"/>
    <mergeCell ref="W476:Y476"/>
    <mergeCell ref="B511:H516"/>
    <mergeCell ref="D459:AF459"/>
    <mergeCell ref="N379:Q379"/>
    <mergeCell ref="AH508:AK508"/>
    <mergeCell ref="C568:L568"/>
    <mergeCell ref="D477:V477"/>
    <mergeCell ref="AG400:AJ400"/>
    <mergeCell ref="AC356:AE356"/>
    <mergeCell ref="E427:G427"/>
    <mergeCell ref="AD420:AE420"/>
    <mergeCell ref="F436:AH437"/>
    <mergeCell ref="AG448:AJ448"/>
    <mergeCell ref="AH532:AK532"/>
    <mergeCell ref="AH533:AK533"/>
    <mergeCell ref="AH536:AK536"/>
    <mergeCell ref="AH540:AK540"/>
    <mergeCell ref="C566:L566"/>
    <mergeCell ref="D475:V475"/>
    <mergeCell ref="M503:P503"/>
    <mergeCell ref="AC509:AF509"/>
    <mergeCell ref="AC537:AF537"/>
    <mergeCell ref="Q500:AK500"/>
    <mergeCell ref="AE562:AH562"/>
    <mergeCell ref="Q399:U399"/>
    <mergeCell ref="I419:AE419"/>
    <mergeCell ref="K413:AJ413"/>
    <mergeCell ref="I430:K430"/>
    <mergeCell ref="AG446:AJ446"/>
    <mergeCell ref="D449:AF449"/>
    <mergeCell ref="AH525:AK525"/>
    <mergeCell ref="W479:Y479"/>
    <mergeCell ref="AH517:AK517"/>
    <mergeCell ref="AH524:AK524"/>
    <mergeCell ref="AG450:AJ450"/>
    <mergeCell ref="D456:AF456"/>
    <mergeCell ref="W474:Y474"/>
    <mergeCell ref="W482:Y482"/>
    <mergeCell ref="Q501:AK501"/>
    <mergeCell ref="AC510:AF510"/>
    <mergeCell ref="B522:H524"/>
    <mergeCell ref="C570:L570"/>
    <mergeCell ref="G610:R610"/>
    <mergeCell ref="P589:R589"/>
    <mergeCell ref="Q573:S573"/>
    <mergeCell ref="N591:O591"/>
    <mergeCell ref="G613:L613"/>
    <mergeCell ref="C572:L572"/>
    <mergeCell ref="M572:P572"/>
    <mergeCell ref="AG599:AH599"/>
    <mergeCell ref="G593:R593"/>
    <mergeCell ref="AG583:AH583"/>
    <mergeCell ref="G601:R601"/>
    <mergeCell ref="AI605:AK605"/>
    <mergeCell ref="N607:O607"/>
    <mergeCell ref="Z595:AK595"/>
    <mergeCell ref="W481:Y481"/>
    <mergeCell ref="Q403:U403"/>
    <mergeCell ref="D457:AF457"/>
    <mergeCell ref="AG454:AJ454"/>
    <mergeCell ref="D458:AF458"/>
    <mergeCell ref="Q562:S562"/>
    <mergeCell ref="AC518:AF518"/>
    <mergeCell ref="AH522:AK522"/>
    <mergeCell ref="M566:P566"/>
    <mergeCell ref="AG455:AJ455"/>
    <mergeCell ref="Q565:S565"/>
    <mergeCell ref="C564:L564"/>
    <mergeCell ref="M564:P564"/>
    <mergeCell ref="B559:L561"/>
    <mergeCell ref="D446:AF446"/>
    <mergeCell ref="D451:AF451"/>
    <mergeCell ref="AF439:AG439"/>
    <mergeCell ref="B732:F732"/>
    <mergeCell ref="B735:F735"/>
    <mergeCell ref="H688:R688"/>
    <mergeCell ref="B731:F731"/>
    <mergeCell ref="G693:R693"/>
    <mergeCell ref="B739:F739"/>
    <mergeCell ref="B738:F738"/>
    <mergeCell ref="AC752:AG752"/>
    <mergeCell ref="AG764:AJ764"/>
    <mergeCell ref="K759:N759"/>
    <mergeCell ref="B737:F737"/>
    <mergeCell ref="G739:J739"/>
    <mergeCell ref="X746:AB746"/>
    <mergeCell ref="X737:AB737"/>
    <mergeCell ref="AH756:AJ756"/>
    <mergeCell ref="AI687:AK687"/>
    <mergeCell ref="X751:AB751"/>
    <mergeCell ref="X752:AB752"/>
    <mergeCell ref="AH751:AJ751"/>
    <mergeCell ref="T756:W756"/>
    <mergeCell ref="X755:AB755"/>
    <mergeCell ref="X754:AB754"/>
    <mergeCell ref="AC759:AG759"/>
    <mergeCell ref="X741:AB741"/>
    <mergeCell ref="AC747:AG747"/>
    <mergeCell ref="AH757:AJ757"/>
    <mergeCell ref="AK744:AO744"/>
    <mergeCell ref="AH747:AJ747"/>
    <mergeCell ref="AK756:AO756"/>
    <mergeCell ref="AC758:AG758"/>
    <mergeCell ref="AH730:AJ730"/>
    <mergeCell ref="B749:F749"/>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AC750:AG750"/>
    <mergeCell ref="AC751:AG751"/>
    <mergeCell ref="O795:S795"/>
    <mergeCell ref="G732:J732"/>
    <mergeCell ref="T737:W737"/>
    <mergeCell ref="Z660:AK660"/>
    <mergeCell ref="G729:J729"/>
    <mergeCell ref="G760:J760"/>
    <mergeCell ref="X730:AB730"/>
    <mergeCell ref="Z693:AK693"/>
    <mergeCell ref="AE706:AI706"/>
    <mergeCell ref="AC722:AG725"/>
    <mergeCell ref="AC645:AE645"/>
    <mergeCell ref="X722:AB725"/>
    <mergeCell ref="AE702:AF702"/>
    <mergeCell ref="A717:AT719"/>
    <mergeCell ref="O791:S794"/>
    <mergeCell ref="AG681:AH681"/>
    <mergeCell ref="B733:F733"/>
    <mergeCell ref="Z817:AE817"/>
    <mergeCell ref="X803:AB803"/>
    <mergeCell ref="O800:S800"/>
    <mergeCell ref="J799:N799"/>
    <mergeCell ref="X800:AB800"/>
    <mergeCell ref="C833:H833"/>
    <mergeCell ref="G735:J735"/>
    <mergeCell ref="Y831:AB832"/>
    <mergeCell ref="J787:K787"/>
    <mergeCell ref="Z816:AE816"/>
    <mergeCell ref="X797:AB797"/>
    <mergeCell ref="AC800:AG800"/>
    <mergeCell ref="Z826:AE826"/>
    <mergeCell ref="T803:W803"/>
    <mergeCell ref="T781:W781"/>
    <mergeCell ref="J781:N781"/>
    <mergeCell ref="B736:F736"/>
    <mergeCell ref="K745:N745"/>
    <mergeCell ref="O759:S759"/>
    <mergeCell ref="AC833:AF833"/>
    <mergeCell ref="X753:AB753"/>
    <mergeCell ref="X745:AB745"/>
    <mergeCell ref="X798:AB798"/>
    <mergeCell ref="K758:N758"/>
    <mergeCell ref="J791:N794"/>
    <mergeCell ref="O783:S783"/>
    <mergeCell ref="J782:N782"/>
    <mergeCell ref="T784:W784"/>
    <mergeCell ref="T782:W782"/>
    <mergeCell ref="AC784:AG784"/>
    <mergeCell ref="AC797:AG797"/>
    <mergeCell ref="C834:H834"/>
    <mergeCell ref="B741:F741"/>
    <mergeCell ref="B762:AH763"/>
    <mergeCell ref="X782:AB782"/>
    <mergeCell ref="X799:AB799"/>
    <mergeCell ref="Q835:T835"/>
    <mergeCell ref="M836:P836"/>
    <mergeCell ref="M835:P835"/>
    <mergeCell ref="J805:N805"/>
    <mergeCell ref="J803:N803"/>
    <mergeCell ref="AC782:AG782"/>
    <mergeCell ref="X785:AB785"/>
    <mergeCell ref="C836:H836"/>
    <mergeCell ref="Q834:T834"/>
    <mergeCell ref="M833:P833"/>
    <mergeCell ref="X760:AB760"/>
    <mergeCell ref="T777:W780"/>
    <mergeCell ref="AC801:AG801"/>
    <mergeCell ref="X783:AB783"/>
    <mergeCell ref="B742:F742"/>
    <mergeCell ref="U834:X834"/>
    <mergeCell ref="X802:AB802"/>
    <mergeCell ref="X750:AB750"/>
    <mergeCell ref="AH750:AJ750"/>
    <mergeCell ref="G742:J742"/>
    <mergeCell ref="O743:S743"/>
    <mergeCell ref="O750:S750"/>
    <mergeCell ref="AC755:AG755"/>
    <mergeCell ref="AG834:AJ834"/>
    <mergeCell ref="AG833:AJ833"/>
    <mergeCell ref="Y833:AB833"/>
    <mergeCell ref="J795:N795"/>
    <mergeCell ref="AZ859:BA859"/>
    <mergeCell ref="AC899:AH899"/>
    <mergeCell ref="W887:AC887"/>
    <mergeCell ref="U940:Z940"/>
    <mergeCell ref="F924:T924"/>
    <mergeCell ref="AA935:AF935"/>
    <mergeCell ref="U936:Z936"/>
    <mergeCell ref="AA936:AF936"/>
    <mergeCell ref="M887:V887"/>
    <mergeCell ref="W884:AC884"/>
    <mergeCell ref="BD911:BE911"/>
    <mergeCell ref="BD909:BE909"/>
    <mergeCell ref="AC902:AH902"/>
    <mergeCell ref="F937:T937"/>
    <mergeCell ref="U935:Z935"/>
    <mergeCell ref="F938:T938"/>
    <mergeCell ref="AA940:AF940"/>
    <mergeCell ref="AW927:AY927"/>
    <mergeCell ref="BD919:BE919"/>
    <mergeCell ref="BD912:BE912"/>
    <mergeCell ref="AC898:AH898"/>
    <mergeCell ref="AC903:AH903"/>
    <mergeCell ref="Z908:AE908"/>
    <mergeCell ref="AC897:AH897"/>
    <mergeCell ref="W886:AC886"/>
    <mergeCell ref="BD908:BE908"/>
    <mergeCell ref="BD910:BE910"/>
    <mergeCell ref="Z910:AE910"/>
    <mergeCell ref="AC901:AH901"/>
    <mergeCell ref="BD913:BE913"/>
    <mergeCell ref="BD915:BF915"/>
    <mergeCell ref="BD914:BF914"/>
    <mergeCell ref="M838:P838"/>
    <mergeCell ref="AG839:AJ839"/>
    <mergeCell ref="W857:AC857"/>
    <mergeCell ref="W850:AC850"/>
    <mergeCell ref="U836:X836"/>
    <mergeCell ref="AG836:AJ836"/>
    <mergeCell ref="AC799:AG799"/>
    <mergeCell ref="J802:N802"/>
    <mergeCell ref="J797:N797"/>
    <mergeCell ref="U835:X835"/>
    <mergeCell ref="O798:S798"/>
    <mergeCell ref="Z822:AE822"/>
    <mergeCell ref="Z825:AE825"/>
    <mergeCell ref="P824:Y824"/>
    <mergeCell ref="Z821:AE821"/>
    <mergeCell ref="C806:AN807"/>
    <mergeCell ref="J801:N801"/>
    <mergeCell ref="X801:AB801"/>
    <mergeCell ref="O797:S797"/>
    <mergeCell ref="AC798:AG798"/>
    <mergeCell ref="J798:N798"/>
    <mergeCell ref="Z815:AE815"/>
    <mergeCell ref="O804:S804"/>
    <mergeCell ref="AC837:AF837"/>
    <mergeCell ref="Y834:AB834"/>
    <mergeCell ref="Q837:T837"/>
    <mergeCell ref="AC834:AF834"/>
    <mergeCell ref="J857:V857"/>
    <mergeCell ref="W854:AC854"/>
    <mergeCell ref="AG837:AJ837"/>
    <mergeCell ref="AC838:AF838"/>
    <mergeCell ref="Y836:AB836"/>
    <mergeCell ref="K733:N733"/>
    <mergeCell ref="AH737:AJ737"/>
    <mergeCell ref="O738:S738"/>
    <mergeCell ref="AK735:AO735"/>
    <mergeCell ref="J800:N800"/>
    <mergeCell ref="Z814:AE814"/>
    <mergeCell ref="Y808:AC808"/>
    <mergeCell ref="AC804:AG804"/>
    <mergeCell ref="AC796:AG796"/>
    <mergeCell ref="O801:S801"/>
    <mergeCell ref="T799:W799"/>
    <mergeCell ref="T795:W795"/>
    <mergeCell ref="T796:W796"/>
    <mergeCell ref="T797:W797"/>
    <mergeCell ref="O803:S803"/>
    <mergeCell ref="AC777:AG780"/>
    <mergeCell ref="O785:S785"/>
    <mergeCell ref="X796:AB796"/>
    <mergeCell ref="T743:W743"/>
    <mergeCell ref="AH760:AJ760"/>
    <mergeCell ref="Y840:AB840"/>
    <mergeCell ref="AC839:AF839"/>
    <mergeCell ref="M837:P837"/>
    <mergeCell ref="J777:N780"/>
    <mergeCell ref="AG831:AJ832"/>
    <mergeCell ref="AC805:AG805"/>
    <mergeCell ref="AC795:AG795"/>
    <mergeCell ref="O781:S781"/>
    <mergeCell ref="J784:N784"/>
    <mergeCell ref="X732:AB732"/>
    <mergeCell ref="O737:S737"/>
    <mergeCell ref="T744:W744"/>
    <mergeCell ref="X748:AB748"/>
    <mergeCell ref="U831:X832"/>
    <mergeCell ref="M854:V854"/>
    <mergeCell ref="W851:AC851"/>
    <mergeCell ref="O784:S784"/>
    <mergeCell ref="T749:W749"/>
    <mergeCell ref="T757:W757"/>
    <mergeCell ref="X756:AB756"/>
    <mergeCell ref="X757:AB757"/>
    <mergeCell ref="T798:W798"/>
    <mergeCell ref="T801:W801"/>
    <mergeCell ref="X795:AB795"/>
    <mergeCell ref="X804:AB804"/>
    <mergeCell ref="Y837:AB837"/>
    <mergeCell ref="X749:AB749"/>
    <mergeCell ref="U833:X833"/>
    <mergeCell ref="Q831:T832"/>
    <mergeCell ref="AC785:AG785"/>
    <mergeCell ref="T802:W802"/>
    <mergeCell ref="T800:W800"/>
    <mergeCell ref="G668:R668"/>
    <mergeCell ref="G669:R669"/>
    <mergeCell ref="B728:F728"/>
    <mergeCell ref="B730:F730"/>
    <mergeCell ref="G692:R692"/>
    <mergeCell ref="AI695:AK695"/>
    <mergeCell ref="J713:O713"/>
    <mergeCell ref="O730:S730"/>
    <mergeCell ref="Z687:AE687"/>
    <mergeCell ref="G685:R685"/>
    <mergeCell ref="Z686:AK686"/>
    <mergeCell ref="K722:N725"/>
    <mergeCell ref="T730:W730"/>
    <mergeCell ref="G722:J725"/>
    <mergeCell ref="T740:W740"/>
    <mergeCell ref="G744:J744"/>
    <mergeCell ref="AH759:AJ759"/>
    <mergeCell ref="K754:N754"/>
    <mergeCell ref="T754:W754"/>
    <mergeCell ref="AH735:AJ735"/>
    <mergeCell ref="T755:W755"/>
    <mergeCell ref="K748:N748"/>
    <mergeCell ref="AC746:AG746"/>
    <mergeCell ref="O722:S725"/>
    <mergeCell ref="X742:AB742"/>
    <mergeCell ref="O747:S747"/>
    <mergeCell ref="O744:S744"/>
    <mergeCell ref="K746:N746"/>
    <mergeCell ref="K755:N755"/>
    <mergeCell ref="AC749:AG749"/>
    <mergeCell ref="AC745:AG745"/>
    <mergeCell ref="K738:N738"/>
    <mergeCell ref="G670:R670"/>
    <mergeCell ref="G684:R684"/>
    <mergeCell ref="AC744:AG744"/>
    <mergeCell ref="G683:R683"/>
    <mergeCell ref="X740:AB740"/>
    <mergeCell ref="K742:N742"/>
    <mergeCell ref="AH748:AJ748"/>
    <mergeCell ref="G687:L687"/>
    <mergeCell ref="X736:AB736"/>
    <mergeCell ref="O727:S727"/>
    <mergeCell ref="K732:N732"/>
    <mergeCell ref="AG689:AH689"/>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O741:S741"/>
    <mergeCell ref="AH741:AJ741"/>
    <mergeCell ref="G679:L679"/>
    <mergeCell ref="Z652:AK652"/>
    <mergeCell ref="K728:N728"/>
    <mergeCell ref="AC727:AG727"/>
    <mergeCell ref="C837:H837"/>
    <mergeCell ref="AH743:AJ743"/>
    <mergeCell ref="T752:W752"/>
    <mergeCell ref="O755:S755"/>
    <mergeCell ref="T733:W733"/>
    <mergeCell ref="O728:S728"/>
    <mergeCell ref="K727:N727"/>
    <mergeCell ref="K739:N739"/>
    <mergeCell ref="K735:N735"/>
    <mergeCell ref="K734:N734"/>
    <mergeCell ref="O726:S726"/>
    <mergeCell ref="T736:W736"/>
    <mergeCell ref="K737:N737"/>
    <mergeCell ref="AC736:AG736"/>
    <mergeCell ref="AH736:AJ736"/>
    <mergeCell ref="AC738:AG738"/>
    <mergeCell ref="T728:W728"/>
    <mergeCell ref="T739:W739"/>
    <mergeCell ref="O777:S780"/>
    <mergeCell ref="O799:S799"/>
    <mergeCell ref="J796:N796"/>
    <mergeCell ref="Z823:AE823"/>
    <mergeCell ref="AC835:AF835"/>
    <mergeCell ref="X784:AB784"/>
    <mergeCell ref="K760:N760"/>
    <mergeCell ref="O805:S805"/>
    <mergeCell ref="O796:S796"/>
    <mergeCell ref="T791:W794"/>
    <mergeCell ref="X781:AB781"/>
    <mergeCell ref="J783:N783"/>
    <mergeCell ref="AC761:AG761"/>
    <mergeCell ref="O761:S761"/>
    <mergeCell ref="CI728:CJ728"/>
    <mergeCell ref="CM730:CN730"/>
    <mergeCell ref="CG730:CH730"/>
    <mergeCell ref="CG737:CH737"/>
    <mergeCell ref="CG731:CH731"/>
    <mergeCell ref="CG728:CH728"/>
    <mergeCell ref="O735:S735"/>
    <mergeCell ref="P695:R695"/>
    <mergeCell ref="CK737:CL737"/>
    <mergeCell ref="CK735:CL735"/>
    <mergeCell ref="CM731:CN731"/>
    <mergeCell ref="CI735:CJ735"/>
    <mergeCell ref="CM727:CN727"/>
    <mergeCell ref="CM729:CN729"/>
    <mergeCell ref="W711:AK711"/>
    <mergeCell ref="AC728:AG728"/>
    <mergeCell ref="CI737:CJ737"/>
    <mergeCell ref="AE701:AF701"/>
    <mergeCell ref="X733:AB733"/>
    <mergeCell ref="CM737:CN737"/>
    <mergeCell ref="AK732:AO732"/>
    <mergeCell ref="AK733:AO733"/>
    <mergeCell ref="X735:AB735"/>
    <mergeCell ref="CM734:CN734"/>
    <mergeCell ref="CI733:CJ733"/>
    <mergeCell ref="O733:S733"/>
    <mergeCell ref="O734:S734"/>
    <mergeCell ref="H696:R696"/>
    <mergeCell ref="G736:J736"/>
    <mergeCell ref="K736:N736"/>
    <mergeCell ref="G727:J727"/>
    <mergeCell ref="AK731:AO731"/>
    <mergeCell ref="CG747:CH747"/>
    <mergeCell ref="CP737:CT737"/>
    <mergeCell ref="CK744:CL744"/>
    <mergeCell ref="CG733:CH733"/>
    <mergeCell ref="CU738:CY738"/>
    <mergeCell ref="CK736:CL736"/>
    <mergeCell ref="CG745:CH745"/>
    <mergeCell ref="CZ737:DD737"/>
    <mergeCell ref="CZ739:DD739"/>
    <mergeCell ref="CM741:CN741"/>
    <mergeCell ref="CP748:CT748"/>
    <mergeCell ref="CZ741:DD741"/>
    <mergeCell ref="CZ744:DD744"/>
    <mergeCell ref="CK739:CL739"/>
    <mergeCell ref="CP738:CT738"/>
    <mergeCell ref="CU739:CY739"/>
    <mergeCell ref="CM740:CN740"/>
    <mergeCell ref="CK733:CL733"/>
    <mergeCell ref="CP733:CT733"/>
    <mergeCell ref="CZ735:DD735"/>
    <mergeCell ref="CP734:CT734"/>
    <mergeCell ref="CM738:CN738"/>
    <mergeCell ref="CK738:CL738"/>
    <mergeCell ref="CI738:CJ738"/>
    <mergeCell ref="CI745:CJ745"/>
    <mergeCell ref="CM733:CN733"/>
    <mergeCell ref="CG746:CH746"/>
    <mergeCell ref="CP739:CT739"/>
    <mergeCell ref="CZ742:DD742"/>
    <mergeCell ref="CM748:CN748"/>
    <mergeCell ref="CG740:CH740"/>
    <mergeCell ref="CK746:CL746"/>
    <mergeCell ref="G675:R675"/>
    <mergeCell ref="G677:R677"/>
    <mergeCell ref="Q641:S641"/>
    <mergeCell ref="CM726:CN726"/>
    <mergeCell ref="CM736:CN736"/>
    <mergeCell ref="CU734:CY734"/>
    <mergeCell ref="CZ734:DD734"/>
    <mergeCell ref="Z653:AK653"/>
    <mergeCell ref="DE736:DI736"/>
    <mergeCell ref="CG735:CH735"/>
    <mergeCell ref="CZ736:DD736"/>
    <mergeCell ref="AC737:AG737"/>
    <mergeCell ref="O736:S736"/>
    <mergeCell ref="AK736:AO736"/>
    <mergeCell ref="P671:R671"/>
    <mergeCell ref="CP736:CT736"/>
    <mergeCell ref="N657:O657"/>
    <mergeCell ref="W644:Y644"/>
    <mergeCell ref="M644:P644"/>
    <mergeCell ref="AA672:AK672"/>
    <mergeCell ref="CP732:CT732"/>
    <mergeCell ref="AF645:AJ645"/>
    <mergeCell ref="AC644:AE644"/>
    <mergeCell ref="Z655:AE655"/>
    <mergeCell ref="G686:R686"/>
    <mergeCell ref="CP735:CT735"/>
    <mergeCell ref="CZ726:DD726"/>
    <mergeCell ref="T643:V643"/>
    <mergeCell ref="T644:V644"/>
    <mergeCell ref="N681:O681"/>
    <mergeCell ref="B649:AN649"/>
    <mergeCell ref="CM728:CN728"/>
    <mergeCell ref="C562:L562"/>
    <mergeCell ref="C563:L563"/>
    <mergeCell ref="Q569:S569"/>
    <mergeCell ref="W570:Y570"/>
    <mergeCell ref="T567:V567"/>
    <mergeCell ref="T568:V568"/>
    <mergeCell ref="Z569:AD569"/>
    <mergeCell ref="AI567:AL567"/>
    <mergeCell ref="G577:R577"/>
    <mergeCell ref="G578:R578"/>
    <mergeCell ref="Q568:S568"/>
    <mergeCell ref="Z577:AK577"/>
    <mergeCell ref="Q567:S567"/>
    <mergeCell ref="M567:P567"/>
    <mergeCell ref="Z568:AD568"/>
    <mergeCell ref="AI571:AL571"/>
    <mergeCell ref="M571:P571"/>
    <mergeCell ref="AI569:AL569"/>
    <mergeCell ref="M570:P570"/>
    <mergeCell ref="Z570:AD570"/>
    <mergeCell ref="AI566:AL566"/>
    <mergeCell ref="M573:P573"/>
    <mergeCell ref="T572:V572"/>
    <mergeCell ref="Z571:AD571"/>
    <mergeCell ref="C569:L569"/>
    <mergeCell ref="W571:Y571"/>
    <mergeCell ref="W572:Y572"/>
    <mergeCell ref="W573:Y573"/>
    <mergeCell ref="T571:V571"/>
    <mergeCell ref="AI573:AL573"/>
    <mergeCell ref="AE570:AH570"/>
    <mergeCell ref="Q570:S570"/>
    <mergeCell ref="P597:R597"/>
    <mergeCell ref="AM571:AS571"/>
    <mergeCell ref="G594:R594"/>
    <mergeCell ref="T645:V645"/>
    <mergeCell ref="AM564:AS564"/>
    <mergeCell ref="AI570:AL570"/>
    <mergeCell ref="Z576:AK576"/>
    <mergeCell ref="Z579:AK579"/>
    <mergeCell ref="AI572:AL572"/>
    <mergeCell ref="T569:V569"/>
    <mergeCell ref="C565:L565"/>
    <mergeCell ref="W637:Y637"/>
    <mergeCell ref="Q572:S572"/>
    <mergeCell ref="AE569:AH569"/>
    <mergeCell ref="Z578:AK578"/>
    <mergeCell ref="T573:V573"/>
    <mergeCell ref="G576:R576"/>
    <mergeCell ref="Q566:S566"/>
    <mergeCell ref="M565:P565"/>
    <mergeCell ref="AE565:AH565"/>
    <mergeCell ref="G580:L580"/>
    <mergeCell ref="AI580:AK580"/>
    <mergeCell ref="C645:L645"/>
    <mergeCell ref="G612:R612"/>
    <mergeCell ref="G585:R585"/>
    <mergeCell ref="AF582:AK582"/>
    <mergeCell ref="Z613:AE613"/>
    <mergeCell ref="G603:R603"/>
    <mergeCell ref="G604:R604"/>
    <mergeCell ref="Z585:AK585"/>
    <mergeCell ref="M569:P569"/>
    <mergeCell ref="C573:L573"/>
    <mergeCell ref="Q642:S642"/>
    <mergeCell ref="AK644:AN644"/>
    <mergeCell ref="AO649:AS649"/>
    <mergeCell ref="Z659:AK659"/>
    <mergeCell ref="AK646:AN646"/>
    <mergeCell ref="G659:R659"/>
    <mergeCell ref="G660:R660"/>
    <mergeCell ref="G605:L605"/>
    <mergeCell ref="G617:R617"/>
    <mergeCell ref="M636:P636"/>
    <mergeCell ref="N665:O665"/>
    <mergeCell ref="G655:L655"/>
    <mergeCell ref="Q646:S646"/>
    <mergeCell ref="H656:R656"/>
    <mergeCell ref="T635:V635"/>
    <mergeCell ref="Z443:AA443"/>
    <mergeCell ref="H598:R598"/>
    <mergeCell ref="C640:L640"/>
    <mergeCell ref="M640:P640"/>
    <mergeCell ref="T637:V637"/>
    <mergeCell ref="W568:Y568"/>
    <mergeCell ref="Z651:AK651"/>
    <mergeCell ref="T570:V570"/>
    <mergeCell ref="AK642:AN642"/>
    <mergeCell ref="AK643:AN643"/>
    <mergeCell ref="G589:L589"/>
    <mergeCell ref="Z612:AK612"/>
    <mergeCell ref="C571:L571"/>
    <mergeCell ref="AE573:AH573"/>
    <mergeCell ref="G595:R595"/>
    <mergeCell ref="G586:R586"/>
    <mergeCell ref="H622:R622"/>
    <mergeCell ref="G654:R654"/>
    <mergeCell ref="M638:P638"/>
    <mergeCell ref="M639:P639"/>
    <mergeCell ref="AC640:AE640"/>
    <mergeCell ref="Z617:AK617"/>
    <mergeCell ref="N615:O615"/>
    <mergeCell ref="Q571:S571"/>
    <mergeCell ref="AA581:AK581"/>
    <mergeCell ref="AC632:AE634"/>
    <mergeCell ref="P613:R613"/>
    <mergeCell ref="AM567:AS567"/>
    <mergeCell ref="T641:V641"/>
    <mergeCell ref="T638:V638"/>
    <mergeCell ref="T639:V639"/>
    <mergeCell ref="Z668:AK668"/>
    <mergeCell ref="AM569:AS569"/>
    <mergeCell ref="AM570:AS570"/>
    <mergeCell ref="Z605:AE605"/>
    <mergeCell ref="AF637:AJ637"/>
    <mergeCell ref="M568:P568"/>
    <mergeCell ref="C567:L567"/>
    <mergeCell ref="M637:P637"/>
    <mergeCell ref="Z593:AK593"/>
    <mergeCell ref="P605:R605"/>
    <mergeCell ref="G667:R667"/>
    <mergeCell ref="M582:R582"/>
    <mergeCell ref="H590:R590"/>
    <mergeCell ref="G596:R596"/>
    <mergeCell ref="AI589:AK589"/>
    <mergeCell ref="W635:Y635"/>
    <mergeCell ref="G651:R651"/>
    <mergeCell ref="M642:P642"/>
    <mergeCell ref="Z572:AD572"/>
    <mergeCell ref="Z573:AD573"/>
    <mergeCell ref="Z580:AE580"/>
    <mergeCell ref="Z597:AE597"/>
    <mergeCell ref="AF638:AJ638"/>
    <mergeCell ref="Z640:AB640"/>
    <mergeCell ref="AO640:AS640"/>
    <mergeCell ref="AC636:AE636"/>
    <mergeCell ref="AO648:AS648"/>
    <mergeCell ref="Z679:AE679"/>
    <mergeCell ref="AC637:AE637"/>
    <mergeCell ref="AK641:AN641"/>
    <mergeCell ref="A625:AT626"/>
    <mergeCell ref="B632:L634"/>
    <mergeCell ref="C637:L637"/>
    <mergeCell ref="C636:L636"/>
    <mergeCell ref="Q638:S638"/>
    <mergeCell ref="Q640:S640"/>
    <mergeCell ref="AA606:AK606"/>
    <mergeCell ref="Z587:AK587"/>
    <mergeCell ref="AG607:AH607"/>
    <mergeCell ref="Z596:AK596"/>
    <mergeCell ref="Z618:AK618"/>
    <mergeCell ref="AG591:AH591"/>
    <mergeCell ref="Z588:AK588"/>
    <mergeCell ref="AE572:AH572"/>
    <mergeCell ref="T646:V646"/>
    <mergeCell ref="T636:V636"/>
    <mergeCell ref="AM572:AS572"/>
    <mergeCell ref="AM574:AS574"/>
    <mergeCell ref="G671:L671"/>
    <mergeCell ref="M643:P643"/>
    <mergeCell ref="Z619:AK619"/>
    <mergeCell ref="AO638:AS638"/>
    <mergeCell ref="Z609:AK609"/>
    <mergeCell ref="AK636:AN636"/>
    <mergeCell ref="AF636:AJ636"/>
    <mergeCell ref="W641:Y641"/>
    <mergeCell ref="Z603:AK603"/>
    <mergeCell ref="Z611:AK611"/>
    <mergeCell ref="AI613:AK613"/>
    <mergeCell ref="DE726:DI726"/>
    <mergeCell ref="Z684:AK684"/>
    <mergeCell ref="AG615:AH615"/>
    <mergeCell ref="DX648:EB648"/>
    <mergeCell ref="DX650:EB650"/>
    <mergeCell ref="Z646:AB646"/>
    <mergeCell ref="AF646:AJ646"/>
    <mergeCell ref="AC646:AE646"/>
    <mergeCell ref="AO635:AS635"/>
    <mergeCell ref="W632:Y634"/>
    <mergeCell ref="W636:Y636"/>
    <mergeCell ref="AK635:AN635"/>
    <mergeCell ref="AI621:AK621"/>
    <mergeCell ref="AA622:AK622"/>
    <mergeCell ref="Z676:AK676"/>
    <mergeCell ref="AA680:AK680"/>
    <mergeCell ref="Z669:AK669"/>
    <mergeCell ref="Z671:AE671"/>
    <mergeCell ref="AG673:AH673"/>
    <mergeCell ref="AI663:AK663"/>
    <mergeCell ref="CG727:CH727"/>
    <mergeCell ref="CU726:CY726"/>
    <mergeCell ref="CP725:CT725"/>
    <mergeCell ref="AH726:AJ726"/>
    <mergeCell ref="AC726:AG726"/>
    <mergeCell ref="AE703:AI703"/>
    <mergeCell ref="Z644:AB644"/>
    <mergeCell ref="Z645:AB645"/>
    <mergeCell ref="DX656:EB656"/>
    <mergeCell ref="DO726:DS726"/>
    <mergeCell ref="AF639:AJ639"/>
    <mergeCell ref="Z637:AB637"/>
    <mergeCell ref="Z692:AK692"/>
    <mergeCell ref="W708:AK708"/>
    <mergeCell ref="Z691:AK691"/>
    <mergeCell ref="Z685:AK685"/>
    <mergeCell ref="AC638:AE638"/>
    <mergeCell ref="AC643:AE643"/>
    <mergeCell ref="Z678:AK678"/>
    <mergeCell ref="Z639:AB639"/>
    <mergeCell ref="AF632:AJ634"/>
    <mergeCell ref="Z695:AE695"/>
    <mergeCell ref="AK638:AN638"/>
    <mergeCell ref="AO639:AS639"/>
    <mergeCell ref="AI671:AK671"/>
    <mergeCell ref="Z670:AK670"/>
    <mergeCell ref="AK639:AN639"/>
    <mergeCell ref="AK640:AN640"/>
    <mergeCell ref="AF640:AJ640"/>
    <mergeCell ref="AC639:AE639"/>
    <mergeCell ref="AC642:AE642"/>
    <mergeCell ref="W643:Y643"/>
    <mergeCell ref="DJ726:DN726"/>
    <mergeCell ref="AO636:AS636"/>
    <mergeCell ref="AO632:AS634"/>
    <mergeCell ref="Z663:AE663"/>
    <mergeCell ref="AO645:AS645"/>
    <mergeCell ref="J712:X712"/>
    <mergeCell ref="T722:W725"/>
    <mergeCell ref="CG726:CH726"/>
    <mergeCell ref="CK729:CL729"/>
    <mergeCell ref="DO727:DS727"/>
    <mergeCell ref="DJ729:DN729"/>
    <mergeCell ref="R713:T713"/>
    <mergeCell ref="T726:W726"/>
    <mergeCell ref="O729:S729"/>
    <mergeCell ref="CM725:CN725"/>
    <mergeCell ref="CZ729:DD729"/>
    <mergeCell ref="CZ728:DD728"/>
    <mergeCell ref="CG729:CH729"/>
    <mergeCell ref="CI729:CJ729"/>
    <mergeCell ref="X729:AB729"/>
    <mergeCell ref="AC732:AG732"/>
    <mergeCell ref="CK731:CL731"/>
    <mergeCell ref="O731:S731"/>
    <mergeCell ref="T729:W729"/>
    <mergeCell ref="X728:AB728"/>
    <mergeCell ref="AH732:AJ732"/>
    <mergeCell ref="CP729:CT729"/>
    <mergeCell ref="CU728:CY728"/>
    <mergeCell ref="AK728:AO728"/>
    <mergeCell ref="T731:W731"/>
    <mergeCell ref="K729:N729"/>
    <mergeCell ref="AH731:AJ731"/>
    <mergeCell ref="G730:J730"/>
    <mergeCell ref="DJ727:DN727"/>
    <mergeCell ref="CU725:CY725"/>
    <mergeCell ref="AH727:AJ727"/>
    <mergeCell ref="CI727:CJ727"/>
    <mergeCell ref="G695:L695"/>
    <mergeCell ref="AC733:AG733"/>
    <mergeCell ref="AC734:AG734"/>
    <mergeCell ref="G734:J734"/>
    <mergeCell ref="CM732:CN732"/>
    <mergeCell ref="AK734:AO734"/>
    <mergeCell ref="AC735:AG735"/>
    <mergeCell ref="T735:W735"/>
    <mergeCell ref="X731:AB731"/>
    <mergeCell ref="T727:W727"/>
    <mergeCell ref="O732:S732"/>
    <mergeCell ref="T732:W732"/>
    <mergeCell ref="DX676:EB676"/>
    <mergeCell ref="EC676:EG676"/>
    <mergeCell ref="DX654:EB654"/>
    <mergeCell ref="EC654:EG654"/>
    <mergeCell ref="DX651:EB651"/>
    <mergeCell ref="DX660:EB660"/>
    <mergeCell ref="DX661:EB661"/>
    <mergeCell ref="DX662:EB662"/>
    <mergeCell ref="DX659:EB659"/>
    <mergeCell ref="DX678:EB678"/>
    <mergeCell ref="Z675:AK675"/>
    <mergeCell ref="CI734:CJ734"/>
    <mergeCell ref="CG734:CH734"/>
    <mergeCell ref="CM735:CN735"/>
    <mergeCell ref="CK734:CL734"/>
    <mergeCell ref="CP727:CT727"/>
    <mergeCell ref="DZ728:ED728"/>
    <mergeCell ref="DE734:DI734"/>
    <mergeCell ref="CZ731:DD731"/>
    <mergeCell ref="X734:AB734"/>
    <mergeCell ref="DX652:EB652"/>
    <mergeCell ref="DX668:EB668"/>
    <mergeCell ref="EC668:EG668"/>
    <mergeCell ref="DX665:EB665"/>
    <mergeCell ref="DO730:DS730"/>
    <mergeCell ref="EE727:EI727"/>
    <mergeCell ref="CU735:CY735"/>
    <mergeCell ref="DE728:DI728"/>
    <mergeCell ref="DO734:DS734"/>
    <mergeCell ref="CZ727:DD727"/>
    <mergeCell ref="CU730:CY730"/>
    <mergeCell ref="CU731:CY731"/>
    <mergeCell ref="DE735:DI735"/>
    <mergeCell ref="EC649:EG649"/>
    <mergeCell ref="EC651:EG651"/>
    <mergeCell ref="EC650:EG650"/>
    <mergeCell ref="AK722:AO725"/>
    <mergeCell ref="AK726:AO726"/>
    <mergeCell ref="Z661:AK661"/>
    <mergeCell ref="AA688:AK688"/>
    <mergeCell ref="AE707:AI707"/>
    <mergeCell ref="DO725:DS725"/>
    <mergeCell ref="CI725:CJ725"/>
    <mergeCell ref="Z694:AK694"/>
    <mergeCell ref="CI731:CJ731"/>
    <mergeCell ref="AC730:AG730"/>
    <mergeCell ref="AK730:AO730"/>
    <mergeCell ref="AK729:AO729"/>
    <mergeCell ref="CP731:CT731"/>
    <mergeCell ref="CK732:CL732"/>
    <mergeCell ref="X726:AB726"/>
    <mergeCell ref="CK728:CL728"/>
    <mergeCell ref="DJ747:DN747"/>
    <mergeCell ref="CK748:CL748"/>
    <mergeCell ref="DE760:DI760"/>
    <mergeCell ref="AF635:AJ635"/>
    <mergeCell ref="CG760:CH760"/>
    <mergeCell ref="AH742:AJ742"/>
    <mergeCell ref="CU736:CY736"/>
    <mergeCell ref="DE730:DI730"/>
    <mergeCell ref="CU727:CY727"/>
    <mergeCell ref="EE730:EI730"/>
    <mergeCell ref="DZ736:ED736"/>
    <mergeCell ref="EE732:EI732"/>
    <mergeCell ref="DE738:DI738"/>
    <mergeCell ref="DJ738:DN738"/>
    <mergeCell ref="DJ735:DN735"/>
    <mergeCell ref="DJ734:DN734"/>
    <mergeCell ref="DJ736:DN736"/>
    <mergeCell ref="DJ733:DN733"/>
    <mergeCell ref="DJ731:DN731"/>
    <mergeCell ref="DJ732:DN732"/>
    <mergeCell ref="DE732:DI732"/>
    <mergeCell ref="CZ730:DD730"/>
    <mergeCell ref="CZ732:DD732"/>
    <mergeCell ref="CZ733:DD733"/>
    <mergeCell ref="DO731:DS731"/>
    <mergeCell ref="DO732:DS732"/>
    <mergeCell ref="CZ738:DD738"/>
    <mergeCell ref="CU732:CY732"/>
    <mergeCell ref="AC739:AG739"/>
    <mergeCell ref="EC645:EG645"/>
    <mergeCell ref="AO644:AS644"/>
    <mergeCell ref="EC664:EG664"/>
    <mergeCell ref="CI761:CJ761"/>
    <mergeCell ref="CU784:CY784"/>
    <mergeCell ref="DJ781:DN781"/>
    <mergeCell ref="DU746:DY746"/>
    <mergeCell ref="ET740:EX740"/>
    <mergeCell ref="DJ760:DN760"/>
    <mergeCell ref="DO758:DS758"/>
    <mergeCell ref="DE740:DI740"/>
    <mergeCell ref="DG122:DM122"/>
    <mergeCell ref="CU122:CV122"/>
    <mergeCell ref="AH722:AJ725"/>
    <mergeCell ref="AH733:AJ733"/>
    <mergeCell ref="EW675:FA675"/>
    <mergeCell ref="DU742:DY742"/>
    <mergeCell ref="DU741:DY741"/>
    <mergeCell ref="ET741:EX741"/>
    <mergeCell ref="EO741:ES741"/>
    <mergeCell ref="EO742:ES742"/>
    <mergeCell ref="EE742:EI742"/>
    <mergeCell ref="EJ733:EN733"/>
    <mergeCell ref="ET731:EX731"/>
    <mergeCell ref="DU733:DY733"/>
    <mergeCell ref="DZ733:ED733"/>
    <mergeCell ref="DU731:DY731"/>
    <mergeCell ref="DZ731:ED731"/>
    <mergeCell ref="DJ737:DN737"/>
    <mergeCell ref="DE727:DI727"/>
    <mergeCell ref="CU761:CY761"/>
    <mergeCell ref="CM760:CN760"/>
    <mergeCell ref="CP760:CT760"/>
    <mergeCell ref="DJ741:DN741"/>
    <mergeCell ref="DE757:DI757"/>
    <mergeCell ref="DJ740:DN740"/>
    <mergeCell ref="CU740:CY740"/>
    <mergeCell ref="CG759:CH759"/>
    <mergeCell ref="CU746:CY746"/>
    <mergeCell ref="AC760:AG760"/>
    <mergeCell ref="CU733:CY733"/>
    <mergeCell ref="DE745:DI745"/>
    <mergeCell ref="CM742:CN742"/>
    <mergeCell ref="CZ743:DD743"/>
    <mergeCell ref="CU742:CY742"/>
    <mergeCell ref="CP744:CT744"/>
    <mergeCell ref="CM745:CN745"/>
    <mergeCell ref="CU745:CY745"/>
    <mergeCell ref="CZ746:DD746"/>
    <mergeCell ref="CM744:CN744"/>
    <mergeCell ref="CI746:CJ746"/>
    <mergeCell ref="CP749:CT749"/>
    <mergeCell ref="DJ745:DN745"/>
    <mergeCell ref="DJ743:DN743"/>
    <mergeCell ref="CG743:CH743"/>
    <mergeCell ref="CG751:CH751"/>
    <mergeCell ref="DE747:DI747"/>
    <mergeCell ref="CP745:CT745"/>
    <mergeCell ref="CI743:CJ743"/>
    <mergeCell ref="CP741:CT741"/>
    <mergeCell ref="CK750:CL750"/>
    <mergeCell ref="CG742:CH742"/>
    <mergeCell ref="AC748:AG748"/>
    <mergeCell ref="AH734:AJ734"/>
    <mergeCell ref="CU737:CY737"/>
    <mergeCell ref="DE733:DI733"/>
    <mergeCell ref="DE737:DI737"/>
    <mergeCell ref="M831:P832"/>
    <mergeCell ref="T804:W804"/>
    <mergeCell ref="AC783:AG783"/>
    <mergeCell ref="AC791:AG794"/>
    <mergeCell ref="AC831:AF832"/>
    <mergeCell ref="K741:N741"/>
    <mergeCell ref="O756:S756"/>
    <mergeCell ref="T783:W783"/>
    <mergeCell ref="C771:AR773"/>
    <mergeCell ref="CU782:CY782"/>
    <mergeCell ref="X791:AB794"/>
    <mergeCell ref="X758:AB758"/>
    <mergeCell ref="AC757:AG757"/>
    <mergeCell ref="B748:F748"/>
    <mergeCell ref="BG856:BL856"/>
    <mergeCell ref="AH739:AJ739"/>
    <mergeCell ref="CP810:CT810"/>
    <mergeCell ref="CP796:CT796"/>
    <mergeCell ref="U838:X838"/>
    <mergeCell ref="J804:N804"/>
    <mergeCell ref="J785:N785"/>
    <mergeCell ref="Q840:T840"/>
    <mergeCell ref="M839:P839"/>
    <mergeCell ref="AK739:AO739"/>
    <mergeCell ref="O739:S739"/>
    <mergeCell ref="G741:J741"/>
    <mergeCell ref="B745:F745"/>
    <mergeCell ref="B747:F747"/>
    <mergeCell ref="X739:AB739"/>
    <mergeCell ref="T742:W742"/>
    <mergeCell ref="K740:N740"/>
    <mergeCell ref="X744:AB744"/>
    <mergeCell ref="M883:V883"/>
    <mergeCell ref="W883:AC883"/>
    <mergeCell ref="T866:V866"/>
    <mergeCell ref="T868:V868"/>
    <mergeCell ref="W876:AC876"/>
    <mergeCell ref="W870:AC870"/>
    <mergeCell ref="W880:AC880"/>
    <mergeCell ref="W878:AC878"/>
    <mergeCell ref="M869:V869"/>
    <mergeCell ref="G740:J740"/>
    <mergeCell ref="G747:J747"/>
    <mergeCell ref="CP782:CT782"/>
    <mergeCell ref="BI849:BL849"/>
    <mergeCell ref="Z824:AE824"/>
    <mergeCell ref="AC781:AG781"/>
    <mergeCell ref="CG741:CH741"/>
    <mergeCell ref="W855:AC855"/>
    <mergeCell ref="W853:AC853"/>
    <mergeCell ref="AC756:AG756"/>
    <mergeCell ref="T750:W750"/>
    <mergeCell ref="T759:W759"/>
    <mergeCell ref="AH745:AJ745"/>
    <mergeCell ref="AH746:AJ746"/>
    <mergeCell ref="AH744:AJ744"/>
    <mergeCell ref="Y838:AB838"/>
    <mergeCell ref="K743:N743"/>
    <mergeCell ref="O740:S740"/>
    <mergeCell ref="G745:J745"/>
    <mergeCell ref="G743:J743"/>
    <mergeCell ref="K751:N751"/>
    <mergeCell ref="AC741:AG741"/>
    <mergeCell ref="AH740:AJ740"/>
    <mergeCell ref="A1109:B1109"/>
    <mergeCell ref="AA938:AF938"/>
    <mergeCell ref="U939:Z939"/>
    <mergeCell ref="AA939:AF939"/>
    <mergeCell ref="U958:Z958"/>
    <mergeCell ref="I958:T958"/>
    <mergeCell ref="U947:Z947"/>
    <mergeCell ref="U955:Z955"/>
    <mergeCell ref="F955:H955"/>
    <mergeCell ref="M886:V886"/>
    <mergeCell ref="I955:T955"/>
    <mergeCell ref="AA955:AF955"/>
    <mergeCell ref="AA976:AG976"/>
    <mergeCell ref="Y835:AB835"/>
    <mergeCell ref="AG835:AJ835"/>
    <mergeCell ref="U929:Z929"/>
    <mergeCell ref="W869:AC869"/>
    <mergeCell ref="C838:H838"/>
    <mergeCell ref="F839:L839"/>
    <mergeCell ref="Q836:T836"/>
    <mergeCell ref="AC836:AF836"/>
    <mergeCell ref="U837:X837"/>
    <mergeCell ref="F946:T946"/>
    <mergeCell ref="U946:Z946"/>
    <mergeCell ref="AA946:AF946"/>
    <mergeCell ref="E894:AB894"/>
    <mergeCell ref="U941:Z941"/>
    <mergeCell ref="AA941:AF941"/>
    <mergeCell ref="F941:T941"/>
    <mergeCell ref="AB926:AE926"/>
    <mergeCell ref="AA931:AF931"/>
    <mergeCell ref="M967:S967"/>
    <mergeCell ref="B1001:AI100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K752:N752"/>
    <mergeCell ref="O752:S752"/>
    <mergeCell ref="Q838:T838"/>
    <mergeCell ref="AA948:AF948"/>
    <mergeCell ref="AA949:AF949"/>
    <mergeCell ref="W861:AC861"/>
    <mergeCell ref="M964:S964"/>
    <mergeCell ref="AA945:AF945"/>
    <mergeCell ref="AA951:AF951"/>
    <mergeCell ref="K744:N744"/>
    <mergeCell ref="A1106:B1106"/>
    <mergeCell ref="AE969:AK969"/>
    <mergeCell ref="G761:J761"/>
    <mergeCell ref="AD767:AF767"/>
    <mergeCell ref="O754:S754"/>
    <mergeCell ref="O751:S751"/>
    <mergeCell ref="T751:W751"/>
    <mergeCell ref="M880:V880"/>
    <mergeCell ref="Q833:T833"/>
    <mergeCell ref="W879:AC879"/>
    <mergeCell ref="AC894:AH894"/>
    <mergeCell ref="A1103:B1103"/>
    <mergeCell ref="K756:N756"/>
    <mergeCell ref="M968:S968"/>
    <mergeCell ref="J966:S966"/>
    <mergeCell ref="AE968:AK968"/>
    <mergeCell ref="D1051:AE1053"/>
    <mergeCell ref="D997:Q997"/>
    <mergeCell ref="AA950:AF950"/>
    <mergeCell ref="C774:AR776"/>
    <mergeCell ref="F940:T940"/>
    <mergeCell ref="U945:Z945"/>
    <mergeCell ref="F949:T949"/>
    <mergeCell ref="U948:Z948"/>
    <mergeCell ref="I957:T957"/>
    <mergeCell ref="AC904:AH904"/>
    <mergeCell ref="AA942:AF942"/>
    <mergeCell ref="Z909:AE909"/>
    <mergeCell ref="AC896:AH896"/>
    <mergeCell ref="U944:Z944"/>
    <mergeCell ref="AA932:AF932"/>
    <mergeCell ref="AC893:AH893"/>
    <mergeCell ref="C840:L840"/>
    <mergeCell ref="W865:AC865"/>
    <mergeCell ref="Y839:AB839"/>
    <mergeCell ref="W859:AC859"/>
    <mergeCell ref="W863:AC863"/>
    <mergeCell ref="W860:AC860"/>
    <mergeCell ref="W862:AC862"/>
    <mergeCell ref="C845:AJ845"/>
    <mergeCell ref="U839:X839"/>
    <mergeCell ref="D1134:AK1136"/>
    <mergeCell ref="AA981:AG981"/>
    <mergeCell ref="AA929:AF929"/>
    <mergeCell ref="AA928:AF928"/>
    <mergeCell ref="U934:Z934"/>
    <mergeCell ref="A919:AT920"/>
    <mergeCell ref="F945:T945"/>
    <mergeCell ref="AA956:AF956"/>
    <mergeCell ref="U931:Z931"/>
    <mergeCell ref="AA933:AF933"/>
    <mergeCell ref="M978:S978"/>
    <mergeCell ref="AA944:AF944"/>
    <mergeCell ref="AA927:AF927"/>
    <mergeCell ref="AA978:AG978"/>
    <mergeCell ref="AA958:AF958"/>
    <mergeCell ref="D1010:AE1010"/>
    <mergeCell ref="M971:S971"/>
    <mergeCell ref="AA934:AF934"/>
    <mergeCell ref="AE967:AK967"/>
    <mergeCell ref="F925:T926"/>
    <mergeCell ref="F948:T948"/>
    <mergeCell ref="AB997:AI997"/>
    <mergeCell ref="R995:AA995"/>
    <mergeCell ref="B743:F743"/>
    <mergeCell ref="B746:F746"/>
    <mergeCell ref="K757:N757"/>
    <mergeCell ref="O757:S757"/>
    <mergeCell ref="X759:AB759"/>
    <mergeCell ref="AB999:AI999"/>
    <mergeCell ref="D1003:AE1003"/>
    <mergeCell ref="D1009:AE1009"/>
    <mergeCell ref="AK758:AO758"/>
    <mergeCell ref="O758:S758"/>
    <mergeCell ref="K753:N753"/>
    <mergeCell ref="T748:W748"/>
    <mergeCell ref="G749:J749"/>
    <mergeCell ref="C904:AB904"/>
    <mergeCell ref="F935:T935"/>
    <mergeCell ref="AK748:AO748"/>
    <mergeCell ref="AK749:AO749"/>
    <mergeCell ref="AK760:AO760"/>
    <mergeCell ref="O764:R764"/>
    <mergeCell ref="W874:AC874"/>
    <mergeCell ref="W888:AC888"/>
    <mergeCell ref="C901:AB901"/>
    <mergeCell ref="G746:J746"/>
    <mergeCell ref="O745:S745"/>
    <mergeCell ref="O746:S746"/>
    <mergeCell ref="AJ1045:AQ1049"/>
    <mergeCell ref="D1050:AE1050"/>
    <mergeCell ref="F984:L984"/>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AG1038:AH1038"/>
    <mergeCell ref="D1046:AE1049"/>
    <mergeCell ref="AJ1000:AQ1000"/>
    <mergeCell ref="AG1020:AH1020"/>
    <mergeCell ref="AG1022:AH1022"/>
    <mergeCell ref="D1042:AE1044"/>
    <mergeCell ref="D1029:AE1030"/>
    <mergeCell ref="AB1000:AI1000"/>
    <mergeCell ref="D1034:AE1034"/>
    <mergeCell ref="AF1035:AI1035"/>
    <mergeCell ref="D1008:AE1008"/>
    <mergeCell ref="R996:AA996"/>
    <mergeCell ref="AB994:AI994"/>
    <mergeCell ref="D1038:AE1038"/>
    <mergeCell ref="B1000:AA1000"/>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A977:AG977"/>
    <mergeCell ref="I959:T959"/>
    <mergeCell ref="D1004:AE1007"/>
    <mergeCell ref="M969:S969"/>
    <mergeCell ref="M977:S977"/>
    <mergeCell ref="D1011:AE1015"/>
    <mergeCell ref="D1020:AE1020"/>
    <mergeCell ref="D1021:AE1021"/>
    <mergeCell ref="R997:AA997"/>
    <mergeCell ref="D999:Q999"/>
    <mergeCell ref="AB998:AI998"/>
    <mergeCell ref="O983:P983"/>
    <mergeCell ref="AF1032:AI1033"/>
    <mergeCell ref="AG1016:AH101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D998:Q998"/>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O729:FS729"/>
    <mergeCell ref="FE725:FI725"/>
    <mergeCell ref="FJ725:FN725"/>
    <mergeCell ref="FO725:FS725"/>
    <mergeCell ref="EZ752:FD752"/>
    <mergeCell ref="FE752:FI752"/>
    <mergeCell ref="FE750:FI750"/>
    <mergeCell ref="FJ750:FN750"/>
    <mergeCell ref="FO750:FS750"/>
    <mergeCell ref="FO732:FS732"/>
    <mergeCell ref="FJ733:FN733"/>
    <mergeCell ref="FY735:GC735"/>
    <mergeCell ref="FE735:FI735"/>
    <mergeCell ref="FT735:FX735"/>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J752:FN752"/>
    <mergeCell ref="FY758:GC758"/>
    <mergeCell ref="EO738:ES738"/>
    <mergeCell ref="ET738:EX738"/>
    <mergeCell ref="EO759:ES759"/>
    <mergeCell ref="FT755:FX755"/>
    <mergeCell ref="FE754:FI754"/>
    <mergeCell ref="FJ754:FN754"/>
    <mergeCell ref="FE734:FI734"/>
    <mergeCell ref="FY749:GC749"/>
    <mergeCell ref="EZ750:FD750"/>
    <mergeCell ref="FE751:FI751"/>
    <mergeCell ref="FJ751:FN751"/>
    <mergeCell ref="FO751:FS751"/>
    <mergeCell ref="FT751:FX751"/>
    <mergeCell ref="FT745:FX745"/>
    <mergeCell ref="FE738:FI738"/>
    <mergeCell ref="FJ738:FN738"/>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J748:FN748"/>
    <mergeCell ref="EZ742:FD742"/>
    <mergeCell ref="FE742:FI742"/>
    <mergeCell ref="EZ746:FD74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O734:FS734"/>
    <mergeCell ref="FT734:FX734"/>
    <mergeCell ref="FT736:FX736"/>
    <mergeCell ref="FY734:GC734"/>
    <mergeCell ref="FO740:FS740"/>
    <mergeCell ref="FT740:FX740"/>
    <mergeCell ref="FY740:GC740"/>
    <mergeCell ref="FO744:FS744"/>
    <mergeCell ref="FT744:FX744"/>
    <mergeCell ref="FE741:FI741"/>
    <mergeCell ref="FJ743:FN743"/>
    <mergeCell ref="FO743:FS743"/>
    <mergeCell ref="FO739:FS739"/>
    <mergeCell ref="FT739:FX739"/>
    <mergeCell ref="FY739:GC739"/>
    <mergeCell ref="FE740:FI740"/>
    <mergeCell ref="FJ740:FN740"/>
    <mergeCell ref="FT741:FX741"/>
    <mergeCell ref="FT742:FX742"/>
    <mergeCell ref="FY747:GC747"/>
    <mergeCell ref="FE746:FI746"/>
    <mergeCell ref="FY746:GC746"/>
    <mergeCell ref="FY738:GC738"/>
    <mergeCell ref="FY744:GC744"/>
    <mergeCell ref="EZ745:FD745"/>
    <mergeCell ref="FE745:FI745"/>
    <mergeCell ref="FJ745:FN745"/>
    <mergeCell ref="FO745:FS745"/>
    <mergeCell ref="FJ742:FN742"/>
    <mergeCell ref="FO742:FS742"/>
    <mergeCell ref="FO738:FS738"/>
    <mergeCell ref="FT738:FX738"/>
    <mergeCell ref="FJ746:FN746"/>
    <mergeCell ref="FO746:FS746"/>
    <mergeCell ref="FT746:FX746"/>
    <mergeCell ref="FT747:FX747"/>
    <mergeCell ref="EZ743:FD743"/>
    <mergeCell ref="FE743:FI743"/>
    <mergeCell ref="FE744:FI744"/>
    <mergeCell ref="FJ744:FN744"/>
    <mergeCell ref="FY742:GC742"/>
    <mergeCell ref="FY741:GC741"/>
    <mergeCell ref="FJ747:FN747"/>
    <mergeCell ref="FO747:FS747"/>
    <mergeCell ref="FY748:GC748"/>
    <mergeCell ref="FO748:FS748"/>
    <mergeCell ref="FJ741:FN741"/>
    <mergeCell ref="FO741:FS741"/>
    <mergeCell ref="FY759:GC759"/>
    <mergeCell ref="FE759:FI759"/>
    <mergeCell ref="FJ759:FN759"/>
    <mergeCell ref="FT750:FX750"/>
    <mergeCell ref="FY755:GC755"/>
    <mergeCell ref="FT756:FX756"/>
    <mergeCell ref="FE728:FI728"/>
    <mergeCell ref="FJ728:FN728"/>
    <mergeCell ref="EZ739:FD739"/>
    <mergeCell ref="FE739:FI739"/>
    <mergeCell ref="FJ739:FN739"/>
    <mergeCell ref="EZ741:FD741"/>
    <mergeCell ref="EZ749:FD749"/>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32:FI732"/>
    <mergeCell ref="FJ729:FN729"/>
    <mergeCell ref="FJ734:FN734"/>
    <mergeCell ref="FO728:FS728"/>
    <mergeCell ref="EZ736:FD736"/>
    <mergeCell ref="FE736:FI736"/>
    <mergeCell ref="FJ736:FN736"/>
    <mergeCell ref="FO736:FS736"/>
    <mergeCell ref="FJ735:FN735"/>
    <mergeCell ref="FO735:FS735"/>
    <mergeCell ref="ET733:EX733"/>
    <mergeCell ref="DU732:DY732"/>
    <mergeCell ref="EO732:ES732"/>
    <mergeCell ref="ET732:EX732"/>
    <mergeCell ref="EO734:ES734"/>
    <mergeCell ref="ET734:EX734"/>
    <mergeCell ref="EO731:ES731"/>
    <mergeCell ref="EO729:ES729"/>
    <mergeCell ref="EC655:EG655"/>
    <mergeCell ref="ER649:EV649"/>
    <mergeCell ref="EH649:EL649"/>
    <mergeCell ref="EW652:FA652"/>
    <mergeCell ref="DU727:DY727"/>
    <mergeCell ref="EE725:EI725"/>
    <mergeCell ref="EJ728:EN728"/>
    <mergeCell ref="EO730:ES730"/>
    <mergeCell ref="EO725:ES725"/>
    <mergeCell ref="EO726:ES726"/>
    <mergeCell ref="DU728:DY728"/>
    <mergeCell ref="EZ735:FD735"/>
    <mergeCell ref="DZ727:ED727"/>
    <mergeCell ref="ET730:EX730"/>
    <mergeCell ref="ET728:EX728"/>
    <mergeCell ref="EO736:ES736"/>
    <mergeCell ref="ET736:EX736"/>
    <mergeCell ref="EC673:EG673"/>
    <mergeCell ref="DX670:EB670"/>
    <mergeCell ref="EC670:EG670"/>
    <mergeCell ref="EH670:EL670"/>
    <mergeCell ref="DX667:EB667"/>
    <mergeCell ref="ER668:EV668"/>
    <mergeCell ref="EH674:EL674"/>
    <mergeCell ref="EC662:EG662"/>
    <mergeCell ref="EW646:FA646"/>
    <mergeCell ref="ER656:EV656"/>
    <mergeCell ref="ER655:EV655"/>
    <mergeCell ref="EH653:EL653"/>
    <mergeCell ref="EM653:EQ653"/>
    <mergeCell ref="EH648:EL648"/>
    <mergeCell ref="EM648:EQ648"/>
    <mergeCell ref="DX647:EB647"/>
    <mergeCell ref="EW648:FA648"/>
    <mergeCell ref="ER651:EV651"/>
    <mergeCell ref="ER648:EV648"/>
    <mergeCell ref="EW655:FA655"/>
    <mergeCell ref="EW658:FA658"/>
    <mergeCell ref="EW656:FA656"/>
    <mergeCell ref="ER647:EV647"/>
    <mergeCell ref="ER658:EV658"/>
    <mergeCell ref="EM658:EQ658"/>
    <mergeCell ref="EC671:EG671"/>
    <mergeCell ref="EM667:EQ667"/>
    <mergeCell ref="EC667:EG667"/>
    <mergeCell ref="ER666:EV666"/>
    <mergeCell ref="EM666:EQ666"/>
    <mergeCell ref="ER667:EV667"/>
    <mergeCell ref="EC660:EG660"/>
    <mergeCell ref="EC663:EG663"/>
    <mergeCell ref="EH678:EL678"/>
    <mergeCell ref="EC677:EG677"/>
    <mergeCell ref="EH677:EL677"/>
    <mergeCell ref="EM677:EQ677"/>
    <mergeCell ref="EW678:FA678"/>
    <mergeCell ref="EW664:FA664"/>
    <mergeCell ref="EH661:EL661"/>
    <mergeCell ref="EW663:FA663"/>
    <mergeCell ref="DX672:EB672"/>
    <mergeCell ref="DX671:EB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73:EL673"/>
    <mergeCell ref="EM673:EQ673"/>
    <mergeCell ref="ER673:EV673"/>
    <mergeCell ref="ER659:EV659"/>
    <mergeCell ref="ER664:EV664"/>
    <mergeCell ref="ER660:EV660"/>
    <mergeCell ref="EW667:FA667"/>
    <mergeCell ref="EW661:FA661"/>
    <mergeCell ref="EH657:EL657"/>
    <mergeCell ref="EM659:EQ659"/>
    <mergeCell ref="EH655:EL655"/>
    <mergeCell ref="EM655:EQ655"/>
    <mergeCell ref="EH651:EL651"/>
    <mergeCell ref="EM651:EQ651"/>
    <mergeCell ref="EC656:EG656"/>
    <mergeCell ref="EW647:FA647"/>
    <mergeCell ref="EC648:EG648"/>
    <mergeCell ref="EC661:EG661"/>
    <mergeCell ref="ER661:EV661"/>
    <mergeCell ref="EC659:EG659"/>
    <mergeCell ref="EM676:EQ676"/>
    <mergeCell ref="EM672:EQ672"/>
    <mergeCell ref="ER672:EV672"/>
    <mergeCell ref="EC675:EG675"/>
    <mergeCell ref="EH675:EL675"/>
    <mergeCell ref="EM674:EQ674"/>
    <mergeCell ref="EW660:FA660"/>
    <mergeCell ref="EH662:EL662"/>
    <mergeCell ref="EH676:EL676"/>
    <mergeCell ref="EC665:EG665"/>
    <mergeCell ref="EH665:EL665"/>
    <mergeCell ref="EM665:EQ665"/>
    <mergeCell ref="EH664:EL664"/>
    <mergeCell ref="EM664:EQ664"/>
    <mergeCell ref="EW666:FA666"/>
    <mergeCell ref="ER665:EV665"/>
    <mergeCell ref="EW670:FA670"/>
    <mergeCell ref="EW665:FA665"/>
    <mergeCell ref="EH667:EL667"/>
    <mergeCell ref="EH672:EL672"/>
    <mergeCell ref="DX674:EB674"/>
    <mergeCell ref="EC674:EG674"/>
    <mergeCell ref="EH668:EL668"/>
    <mergeCell ref="EM668:EQ668"/>
    <mergeCell ref="DX673:EB673"/>
    <mergeCell ref="EH660:EL660"/>
    <mergeCell ref="EM671:EQ671"/>
    <mergeCell ref="ER671:EV671"/>
    <mergeCell ref="EW671:FA671"/>
    <mergeCell ref="EW668:FA668"/>
    <mergeCell ref="DX669:EB669"/>
    <mergeCell ref="EW674:FA674"/>
    <mergeCell ref="EZ725:FD725"/>
    <mergeCell ref="DZ738:ED738"/>
    <mergeCell ref="EE738:EI738"/>
    <mergeCell ref="EJ738:EN738"/>
    <mergeCell ref="DU737:DY737"/>
    <mergeCell ref="DZ732:ED732"/>
    <mergeCell ref="DZ735:ED735"/>
    <mergeCell ref="EE735:EI735"/>
    <mergeCell ref="EJ727:EN727"/>
    <mergeCell ref="DU738:DY738"/>
    <mergeCell ref="EE736:EI736"/>
    <mergeCell ref="EJ736:EN736"/>
    <mergeCell ref="EM675:EQ675"/>
    <mergeCell ref="ER675:EV675"/>
    <mergeCell ref="EM678:EQ678"/>
    <mergeCell ref="EO733:ES733"/>
    <mergeCell ref="EE733:EI733"/>
    <mergeCell ref="EO735:ES735"/>
    <mergeCell ref="ER669:EV669"/>
    <mergeCell ref="EH671:EL671"/>
    <mergeCell ref="EO727:ES727"/>
    <mergeCell ref="ET727:EX727"/>
    <mergeCell ref="EJ730:EN730"/>
    <mergeCell ref="DZ725:ED725"/>
    <mergeCell ref="EJ726:EN726"/>
    <mergeCell ref="ET729:EX729"/>
    <mergeCell ref="EE728:EI728"/>
    <mergeCell ref="EO746:ES746"/>
    <mergeCell ref="DX675:EB675"/>
    <mergeCell ref="EW669:FA669"/>
    <mergeCell ref="EM670:EQ670"/>
    <mergeCell ref="ER670:EV670"/>
    <mergeCell ref="DU735:DY735"/>
    <mergeCell ref="EW677:FA677"/>
    <mergeCell ref="EZ734:FD734"/>
    <mergeCell ref="EJ734:EN734"/>
    <mergeCell ref="ER678:EV678"/>
    <mergeCell ref="DX677:EB677"/>
    <mergeCell ref="DU730:DY730"/>
    <mergeCell ref="EJ741:EN741"/>
    <mergeCell ref="ET725:EX725"/>
    <mergeCell ref="EE737:EI737"/>
    <mergeCell ref="ER677:EV677"/>
    <mergeCell ref="ER676:EV676"/>
    <mergeCell ref="EW676:FA676"/>
    <mergeCell ref="EW672:FA672"/>
    <mergeCell ref="EO740:ES740"/>
    <mergeCell ref="EW673:FA673"/>
    <mergeCell ref="ET737:EX737"/>
    <mergeCell ref="EC678:EG678"/>
    <mergeCell ref="EZ740:FD740"/>
    <mergeCell ref="DZ740:ED740"/>
    <mergeCell ref="EE740:EI740"/>
    <mergeCell ref="EJ740:EN740"/>
    <mergeCell ref="DU739:DY739"/>
    <mergeCell ref="EO739:ES739"/>
    <mergeCell ref="EC669:EG669"/>
    <mergeCell ref="ET735:EX735"/>
    <mergeCell ref="EC672:EG672"/>
    <mergeCell ref="EO747:ES747"/>
    <mergeCell ref="ET747:EX747"/>
    <mergeCell ref="DO782:DS782"/>
    <mergeCell ref="DU761:DY761"/>
    <mergeCell ref="CZ759:DD759"/>
    <mergeCell ref="DU755:DY755"/>
    <mergeCell ref="DZ755:ED755"/>
    <mergeCell ref="DU725:DY725"/>
    <mergeCell ref="EZ760:FD760"/>
    <mergeCell ref="EE747:EI747"/>
    <mergeCell ref="EZ728:FD728"/>
    <mergeCell ref="ET742:EX742"/>
    <mergeCell ref="ET743:EX743"/>
    <mergeCell ref="ET739:EX739"/>
    <mergeCell ref="EJ735:EN735"/>
    <mergeCell ref="EO737:ES737"/>
    <mergeCell ref="EJ743:EN743"/>
    <mergeCell ref="EO743:ES743"/>
    <mergeCell ref="DZ743:ED743"/>
    <mergeCell ref="ET745:EX745"/>
    <mergeCell ref="EE734:EI734"/>
    <mergeCell ref="EE731:EI731"/>
    <mergeCell ref="EJ732:EN732"/>
    <mergeCell ref="EJ731:EN731"/>
    <mergeCell ref="EO760:ES760"/>
    <mergeCell ref="EJ760:EN760"/>
    <mergeCell ref="ET746:EX746"/>
    <mergeCell ref="DO748:DS748"/>
    <mergeCell ref="DJ748:DN748"/>
    <mergeCell ref="DO762:DS762"/>
    <mergeCell ref="DO733:DS733"/>
    <mergeCell ref="DE752:DI752"/>
    <mergeCell ref="DZ761:ED761"/>
    <mergeCell ref="DZ746:ED746"/>
    <mergeCell ref="DJ759:DN759"/>
    <mergeCell ref="DJ744:DN744"/>
    <mergeCell ref="DE744:DI744"/>
    <mergeCell ref="EJ748:EN748"/>
    <mergeCell ref="EO753:ES753"/>
    <mergeCell ref="EE759:EI759"/>
    <mergeCell ref="DU759:DY759"/>
    <mergeCell ref="DZ759:ED759"/>
    <mergeCell ref="DU760:DY760"/>
    <mergeCell ref="DZ760:ED760"/>
    <mergeCell ref="DO737:DS737"/>
    <mergeCell ref="ET760:EX760"/>
    <mergeCell ref="ET761:EX761"/>
    <mergeCell ref="DJ739:DN739"/>
    <mergeCell ref="DE739:DI739"/>
    <mergeCell ref="DE742:DI742"/>
    <mergeCell ref="EE757:EI757"/>
    <mergeCell ref="EJ757:EN757"/>
    <mergeCell ref="EO757:ES757"/>
    <mergeCell ref="EE755:EI755"/>
    <mergeCell ref="EE743:EI743"/>
    <mergeCell ref="EJ742:EN742"/>
    <mergeCell ref="EE741:EI741"/>
    <mergeCell ref="DU744:DY744"/>
    <mergeCell ref="DO735:DS735"/>
    <mergeCell ref="DO736:DS736"/>
    <mergeCell ref="DZ745:ED745"/>
    <mergeCell ref="DE748:DI748"/>
    <mergeCell ref="DU748:DY748"/>
    <mergeCell ref="DZ748:ED748"/>
    <mergeCell ref="EE748:EI748"/>
    <mergeCell ref="EE753:EI753"/>
    <mergeCell ref="EE745:EI745"/>
    <mergeCell ref="DO740:DS740"/>
    <mergeCell ref="CZ783:DD783"/>
    <mergeCell ref="CZ784:DD784"/>
    <mergeCell ref="DO743:DS743"/>
    <mergeCell ref="DO744:DS744"/>
    <mergeCell ref="CZ745:DD745"/>
    <mergeCell ref="DU747:DY747"/>
    <mergeCell ref="DZ747:ED747"/>
    <mergeCell ref="DZ758:ED758"/>
    <mergeCell ref="DE761:DI761"/>
    <mergeCell ref="DO759:DS759"/>
    <mergeCell ref="DO741:DS741"/>
    <mergeCell ref="DO742:DS742"/>
    <mergeCell ref="CZ750:DD750"/>
    <mergeCell ref="DE754:DI754"/>
    <mergeCell ref="EE749:EI749"/>
    <mergeCell ref="CZ749:DD749"/>
    <mergeCell ref="DE756:DI756"/>
    <mergeCell ref="DZ741:ED741"/>
    <mergeCell ref="DZ737:ED737"/>
    <mergeCell ref="DJ785:DN785"/>
    <mergeCell ref="CZ782:DD782"/>
    <mergeCell ref="AO642:AS642"/>
    <mergeCell ref="CZ781:DD781"/>
    <mergeCell ref="DJ782:DN782"/>
    <mergeCell ref="AO643:AS643"/>
    <mergeCell ref="DO781:DS781"/>
    <mergeCell ref="DO785:DS785"/>
    <mergeCell ref="DE781:DI781"/>
    <mergeCell ref="CZ785:DD785"/>
    <mergeCell ref="DE785:DI785"/>
    <mergeCell ref="DE783:DI783"/>
    <mergeCell ref="DE782:DI782"/>
    <mergeCell ref="EH669:EL669"/>
    <mergeCell ref="DX653:EB653"/>
    <mergeCell ref="EW649:FA649"/>
    <mergeCell ref="EW662:FA662"/>
    <mergeCell ref="DX655:EB655"/>
    <mergeCell ref="EM657:EQ657"/>
    <mergeCell ref="EM662:EQ662"/>
    <mergeCell ref="CK753:CL753"/>
    <mergeCell ref="EJ745:EN745"/>
    <mergeCell ref="DZ744:ED744"/>
    <mergeCell ref="EE744:EI744"/>
    <mergeCell ref="EJ744:EN744"/>
    <mergeCell ref="EE746:EI746"/>
    <mergeCell ref="EJ746:EN746"/>
    <mergeCell ref="DO746:DS746"/>
    <mergeCell ref="EM661:EQ661"/>
    <mergeCell ref="DJ728:DN728"/>
    <mergeCell ref="DJ725:DN725"/>
    <mergeCell ref="DJ730:DN730"/>
    <mergeCell ref="EM656:EQ656"/>
    <mergeCell ref="EH663:EL663"/>
    <mergeCell ref="EM663:EQ663"/>
    <mergeCell ref="DU726:DY726"/>
    <mergeCell ref="DU729:DY729"/>
    <mergeCell ref="EE729:EI729"/>
    <mergeCell ref="EJ729:EN729"/>
    <mergeCell ref="CU781:CY781"/>
    <mergeCell ref="EE761:EI761"/>
    <mergeCell ref="DJ784:DN784"/>
    <mergeCell ref="DO784:DS784"/>
    <mergeCell ref="DO783:DS783"/>
    <mergeCell ref="DJ761:DN761"/>
    <mergeCell ref="CU783:CY783"/>
    <mergeCell ref="DU757:DY757"/>
    <mergeCell ref="DZ757:ED757"/>
    <mergeCell ref="DO754:DS754"/>
    <mergeCell ref="CZ754:DD754"/>
    <mergeCell ref="DE784:DI784"/>
    <mergeCell ref="DJ754:DN754"/>
    <mergeCell ref="DE758:DI758"/>
    <mergeCell ref="DJ746:DN746"/>
    <mergeCell ref="EO745:ES745"/>
    <mergeCell ref="EO748:ES748"/>
    <mergeCell ref="DZ729:ED729"/>
    <mergeCell ref="DZ730:ED730"/>
    <mergeCell ref="DE729:DI729"/>
    <mergeCell ref="DE731:DI731"/>
    <mergeCell ref="DO729:DS729"/>
    <mergeCell ref="DO738:DS738"/>
    <mergeCell ref="DO739:DS739"/>
    <mergeCell ref="EE750:EI750"/>
    <mergeCell ref="EH645:EL645"/>
    <mergeCell ref="T632:V634"/>
    <mergeCell ref="ET744:EX744"/>
    <mergeCell ref="EO744:ES744"/>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Z740:DD740"/>
    <mergeCell ref="CU729:CY729"/>
    <mergeCell ref="EJ737:EN737"/>
    <mergeCell ref="EJ725:EN725"/>
    <mergeCell ref="EJ747:EN747"/>
    <mergeCell ref="EM649:EQ649"/>
    <mergeCell ref="ER663:EV663"/>
    <mergeCell ref="EH656:EL656"/>
    <mergeCell ref="EH659:EL659"/>
    <mergeCell ref="EH658:EL658"/>
    <mergeCell ref="CU744:CY744"/>
    <mergeCell ref="ER662:EV662"/>
    <mergeCell ref="EM660:EQ660"/>
    <mergeCell ref="DX658:EB658"/>
    <mergeCell ref="EC658:EG658"/>
    <mergeCell ref="DX649:EB649"/>
    <mergeCell ref="ER657:EV657"/>
    <mergeCell ref="EC652:EG652"/>
    <mergeCell ref="EH652:EL652"/>
    <mergeCell ref="EH654:EL654"/>
    <mergeCell ref="DO728:DS728"/>
    <mergeCell ref="ET748:EX748"/>
    <mergeCell ref="DE725:DI725"/>
    <mergeCell ref="DZ726:ED726"/>
    <mergeCell ref="EE726:EI726"/>
    <mergeCell ref="ET726:EX726"/>
    <mergeCell ref="EO728:ES728"/>
    <mergeCell ref="EW659:FA659"/>
    <mergeCell ref="EW657:FA657"/>
    <mergeCell ref="DX657:EB657"/>
    <mergeCell ref="EH650:EL650"/>
    <mergeCell ref="EM650:EQ650"/>
    <mergeCell ref="ER650:EV650"/>
    <mergeCell ref="EM669:EQ669"/>
    <mergeCell ref="ER674:EV674"/>
    <mergeCell ref="DX663:EB663"/>
    <mergeCell ref="DX664:EB66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C526:AF526"/>
    <mergeCell ref="AH512:AK512"/>
    <mergeCell ref="P430:R430"/>
    <mergeCell ref="Q398:U398"/>
    <mergeCell ref="AE564:AH564"/>
    <mergeCell ref="R420:S420"/>
    <mergeCell ref="W473:Y473"/>
    <mergeCell ref="C646:L646"/>
    <mergeCell ref="W566:Y566"/>
    <mergeCell ref="AE566:AH56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E567:AH567"/>
    <mergeCell ref="AC524:AF524"/>
    <mergeCell ref="AM573:AS573"/>
    <mergeCell ref="AE571:AH571"/>
    <mergeCell ref="AM566:AS566"/>
    <mergeCell ref="Z589:AE589"/>
    <mergeCell ref="Z594:AK594"/>
    <mergeCell ref="AC525:AF525"/>
    <mergeCell ref="AC512:AF512"/>
    <mergeCell ref="D453:AF453"/>
    <mergeCell ref="AF643:AJ64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679:R679"/>
    <mergeCell ref="Q639:S639"/>
    <mergeCell ref="T640:V640"/>
    <mergeCell ref="H672:R672"/>
    <mergeCell ref="C638:L638"/>
    <mergeCell ref="C639:L639"/>
    <mergeCell ref="M641:P641"/>
    <mergeCell ref="G652:R652"/>
    <mergeCell ref="P663:R663"/>
    <mergeCell ref="AF641:AJ641"/>
    <mergeCell ref="AO641:AS641"/>
    <mergeCell ref="Q632:S634"/>
    <mergeCell ref="AI679:AK679"/>
    <mergeCell ref="AA598:AK598"/>
    <mergeCell ref="AI597:AK597"/>
    <mergeCell ref="Z604:AK604"/>
    <mergeCell ref="Z643:AB643"/>
    <mergeCell ref="AK632:AN634"/>
    <mergeCell ref="Z638:AB638"/>
    <mergeCell ref="Z621:AE621"/>
    <mergeCell ref="H614:R614"/>
    <mergeCell ref="G618:R618"/>
    <mergeCell ref="N623:O623"/>
    <mergeCell ref="G609:R609"/>
    <mergeCell ref="H606:R606"/>
    <mergeCell ref="G611:R611"/>
    <mergeCell ref="M632:P634"/>
    <mergeCell ref="AF644:AJ644"/>
    <mergeCell ref="G663:L663"/>
    <mergeCell ref="H664:R664"/>
    <mergeCell ref="AG657:AH657"/>
    <mergeCell ref="AA656:AK656"/>
    <mergeCell ref="K730:N730"/>
    <mergeCell ref="K731:N731"/>
    <mergeCell ref="T747:W747"/>
    <mergeCell ref="AK738:AO738"/>
    <mergeCell ref="AA664:AK664"/>
    <mergeCell ref="C642:L642"/>
    <mergeCell ref="M981:S981"/>
    <mergeCell ref="G653:R653"/>
    <mergeCell ref="H680:R680"/>
    <mergeCell ref="AK645:AN645"/>
    <mergeCell ref="P687:R687"/>
    <mergeCell ref="G731:J731"/>
    <mergeCell ref="T760:W760"/>
    <mergeCell ref="T746:W746"/>
    <mergeCell ref="G737:J737"/>
    <mergeCell ref="B734:F734"/>
    <mergeCell ref="I956:T956"/>
    <mergeCell ref="AK746:AO746"/>
    <mergeCell ref="Z683:AK683"/>
    <mergeCell ref="M885:V885"/>
    <mergeCell ref="W877:AC877"/>
    <mergeCell ref="W881:AC881"/>
    <mergeCell ref="F936:T936"/>
    <mergeCell ref="AE965:AK965"/>
    <mergeCell ref="P954:T954"/>
    <mergeCell ref="O748:S748"/>
    <mergeCell ref="K749:N749"/>
    <mergeCell ref="F953:T953"/>
    <mergeCell ref="U953:Z953"/>
    <mergeCell ref="W867:AC867"/>
    <mergeCell ref="U952:Z952"/>
    <mergeCell ref="U950:Z950"/>
    <mergeCell ref="AA952:AF952"/>
    <mergeCell ref="F951:T951"/>
    <mergeCell ref="U951:Z951"/>
    <mergeCell ref="AE970:AK970"/>
    <mergeCell ref="AA957:AF957"/>
    <mergeCell ref="O749:S749"/>
    <mergeCell ref="AE964:AK964"/>
    <mergeCell ref="M965:S965"/>
    <mergeCell ref="AB966:AK966"/>
    <mergeCell ref="Q839:T839"/>
    <mergeCell ref="M884:V884"/>
    <mergeCell ref="AA937:AF937"/>
    <mergeCell ref="AG838:AJ838"/>
    <mergeCell ref="U840:X840"/>
    <mergeCell ref="M840:P840"/>
    <mergeCell ref="W875:AC875"/>
    <mergeCell ref="U949:Z949"/>
    <mergeCell ref="AA947:AF947"/>
    <mergeCell ref="U932:Z932"/>
    <mergeCell ref="F947:T947"/>
    <mergeCell ref="AC895:AH895"/>
    <mergeCell ref="W885:AC885"/>
    <mergeCell ref="AA953:AF953"/>
    <mergeCell ref="B760:F760"/>
    <mergeCell ref="B759:F759"/>
    <mergeCell ref="B750:F750"/>
    <mergeCell ref="B751:F751"/>
    <mergeCell ref="AH761:AJ761"/>
    <mergeCell ref="AK753:AO753"/>
    <mergeCell ref="AH749:AJ749"/>
    <mergeCell ref="U933:Z933"/>
    <mergeCell ref="U942:Z942"/>
    <mergeCell ref="U943:Z943"/>
    <mergeCell ref="F939:T939"/>
    <mergeCell ref="B744:F744"/>
    <mergeCell ref="M834:P834"/>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AB996:AI996"/>
    <mergeCell ref="D996:Q996"/>
    <mergeCell ref="C835:H835"/>
    <mergeCell ref="AJ998:AQ998"/>
    <mergeCell ref="AK745:AO745"/>
    <mergeCell ref="X743:AB743"/>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76:S976"/>
    <mergeCell ref="AA979:AG979"/>
    <mergeCell ref="M979:S979"/>
    <mergeCell ref="AA980:AG980"/>
    <mergeCell ref="T981:Z981"/>
    <mergeCell ref="M984:S984"/>
    <mergeCell ref="R998:AA998"/>
    <mergeCell ref="D994:Q9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4:D1094"/>
    <mergeCell ref="C1096:D1096"/>
    <mergeCell ref="C1097:D1097"/>
    <mergeCell ref="T982:Z982"/>
    <mergeCell ref="R999:AA999"/>
    <mergeCell ref="AA1065:AF1065"/>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8">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3"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60" zoomScaleNormal="60" workbookViewId="0"/>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549</v>
      </c>
      <c r="B1" s="125"/>
      <c r="C1" s="125"/>
      <c r="D1" s="125"/>
      <c r="E1" s="126"/>
      <c r="F1" s="1885" t="s">
        <v>621</v>
      </c>
      <c r="G1" s="1886"/>
      <c r="H1" s="1886"/>
      <c r="I1" s="1886"/>
      <c r="J1" s="1886"/>
      <c r="K1" s="1886"/>
      <c r="L1" s="1886"/>
      <c r="M1" s="1886"/>
      <c r="N1" s="1886"/>
      <c r="O1" s="1886"/>
      <c r="P1" s="1886"/>
      <c r="Q1" s="1886"/>
      <c r="R1" s="1887"/>
      <c r="S1" s="112"/>
      <c r="T1" s="111"/>
      <c r="U1" s="113"/>
    </row>
    <row r="2" spans="1:21" s="138" customFormat="1" ht="71.25" customHeight="1">
      <c r="A2" s="137"/>
      <c r="B2" s="138" t="s">
        <v>23</v>
      </c>
      <c r="C2" s="138" t="s">
        <v>374</v>
      </c>
      <c r="D2" s="138" t="s">
        <v>373</v>
      </c>
      <c r="E2" s="138" t="s">
        <v>24</v>
      </c>
      <c r="F2" s="139" t="str">
        <f>Application!B635&amp;Application!C635</f>
        <v>1)Perm Loan - Tranche B Loan</v>
      </c>
      <c r="G2" s="139" t="str">
        <f>Application!B636&amp;Application!C636</f>
        <v>2)County Funds - NPLH</v>
      </c>
      <c r="H2" s="139" t="str">
        <f>Application!B637&amp;Application!C637</f>
        <v>3)County Funds - AHTF</v>
      </c>
      <c r="I2" s="139" t="str">
        <f>Application!B638&amp;Application!C638</f>
        <v>4)GP Equity</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2600000</v>
      </c>
      <c r="C4" s="147">
        <v>2600000</v>
      </c>
      <c r="D4" s="147"/>
      <c r="E4" s="147"/>
      <c r="F4" s="147">
        <f>+C4</f>
        <v>2600000</v>
      </c>
      <c r="G4" s="147"/>
      <c r="H4" s="147"/>
      <c r="I4" s="147"/>
      <c r="J4" s="147"/>
      <c r="K4" s="147"/>
      <c r="L4" s="147"/>
      <c r="M4" s="147"/>
      <c r="N4" s="147"/>
      <c r="O4" s="147"/>
      <c r="P4" s="147"/>
      <c r="Q4" s="147"/>
      <c r="R4" s="516">
        <f>SUM(E4:Q4)</f>
        <v>2600000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43049</v>
      </c>
      <c r="C6" s="147">
        <v>43049</v>
      </c>
      <c r="D6" s="147"/>
      <c r="E6" s="147"/>
      <c r="F6" s="147">
        <f>+C6</f>
        <v>43049</v>
      </c>
      <c r="G6" s="147"/>
      <c r="H6" s="147"/>
      <c r="I6" s="147"/>
      <c r="J6" s="147"/>
      <c r="K6" s="147"/>
      <c r="L6" s="147"/>
      <c r="M6" s="147"/>
      <c r="N6" s="147"/>
      <c r="O6" s="147"/>
      <c r="P6" s="147"/>
      <c r="Q6" s="147"/>
      <c r="R6" s="516">
        <f>SUM(E6:Q6)</f>
        <v>43049</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593</v>
      </c>
      <c r="B8" s="146">
        <f>SUM(C8:D8)</f>
        <v>2643049</v>
      </c>
      <c r="C8" s="146">
        <f t="shared" ref="C8:Q8" si="0">SUM(C4:C7)</f>
        <v>2643049</v>
      </c>
      <c r="D8" s="146">
        <f t="shared" si="0"/>
        <v>0</v>
      </c>
      <c r="E8" s="146">
        <f t="shared" si="0"/>
        <v>0</v>
      </c>
      <c r="F8" s="146">
        <f t="shared" si="0"/>
        <v>2643049</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2643049</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2643049</v>
      </c>
      <c r="C12" s="146">
        <f t="shared" si="2"/>
        <v>2643049</v>
      </c>
      <c r="D12" s="146">
        <f t="shared" si="2"/>
        <v>0</v>
      </c>
      <c r="E12" s="146">
        <f t="shared" si="2"/>
        <v>0</v>
      </c>
      <c r="F12" s="146">
        <f t="shared" si="2"/>
        <v>2643049</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2643049</v>
      </c>
      <c r="S12" s="148"/>
      <c r="T12" s="148"/>
      <c r="U12" s="143"/>
    </row>
    <row r="13" spans="1:21" s="144" customFormat="1">
      <c r="A13" s="287" t="s">
        <v>902</v>
      </c>
      <c r="B13" s="146">
        <f>SUM(C13+D13)</f>
        <v>1736616</v>
      </c>
      <c r="C13" s="147">
        <v>1736616</v>
      </c>
      <c r="D13" s="147"/>
      <c r="E13" s="147"/>
      <c r="F13" s="147">
        <f>+C13</f>
        <v>1736616</v>
      </c>
      <c r="G13" s="147"/>
      <c r="H13" s="147"/>
      <c r="I13" s="147"/>
      <c r="J13" s="147"/>
      <c r="K13" s="147"/>
      <c r="L13" s="147"/>
      <c r="M13" s="147"/>
      <c r="N13" s="147"/>
      <c r="O13" s="147"/>
      <c r="P13" s="147"/>
      <c r="Q13" s="147"/>
      <c r="R13" s="516">
        <f>SUM(E13:Q13)</f>
        <v>1736616</v>
      </c>
      <c r="S13" s="147"/>
      <c r="T13" s="147"/>
      <c r="U13" s="143"/>
    </row>
    <row r="14" spans="1:21" s="144" customFormat="1" ht="22.8">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2000000</v>
      </c>
      <c r="C29" s="147">
        <v>2000000</v>
      </c>
      <c r="D29" s="147"/>
      <c r="E29" s="147"/>
      <c r="F29" s="147">
        <f>+C29</f>
        <v>2000000</v>
      </c>
      <c r="G29" s="147"/>
      <c r="H29" s="147"/>
      <c r="I29" s="147"/>
      <c r="J29" s="147"/>
      <c r="K29" s="147"/>
      <c r="L29" s="147"/>
      <c r="M29" s="147"/>
      <c r="N29" s="147"/>
      <c r="O29" s="147"/>
      <c r="P29" s="147"/>
      <c r="Q29" s="147"/>
      <c r="R29" s="516">
        <f t="shared" ref="R29:R37" si="7">SUM(E29:Q29)</f>
        <v>2000000</v>
      </c>
      <c r="S29" s="147">
        <f>+R29</f>
        <v>2000000</v>
      </c>
      <c r="T29" s="147"/>
      <c r="U29" s="143"/>
    </row>
    <row r="30" spans="1:21" s="144" customFormat="1">
      <c r="A30" s="145" t="s">
        <v>599</v>
      </c>
      <c r="B30" s="146">
        <f t="shared" si="6"/>
        <v>31372780</v>
      </c>
      <c r="C30" s="147">
        <v>31372780</v>
      </c>
      <c r="D30" s="147"/>
      <c r="E30" s="147">
        <f>+C30-SUM(F30:H30)</f>
        <v>13718929</v>
      </c>
      <c r="F30" s="147">
        <f>+Application!AO635-SUM('Sources and Uses Budget'!F31,'Sources and Uses Budget'!F29,'Sources and Uses Budget'!F13,'Sources and Uses Budget'!F6,'Sources and Uses Budget'!F4)</f>
        <v>1273851</v>
      </c>
      <c r="G30" s="147">
        <f>+Application!AO636</f>
        <v>8010000</v>
      </c>
      <c r="H30" s="147">
        <f>+Application!AO637</f>
        <v>8370000</v>
      </c>
      <c r="I30" s="147"/>
      <c r="J30" s="147"/>
      <c r="K30" s="147"/>
      <c r="L30" s="147"/>
      <c r="M30" s="147"/>
      <c r="N30" s="147"/>
      <c r="O30" s="147"/>
      <c r="P30" s="147"/>
      <c r="Q30" s="147"/>
      <c r="R30" s="516">
        <f t="shared" si="7"/>
        <v>31372780</v>
      </c>
      <c r="S30" s="147">
        <f t="shared" ref="S30:S35" si="8">+R30</f>
        <v>31372780</v>
      </c>
      <c r="T30" s="147"/>
      <c r="U30" s="143"/>
    </row>
    <row r="31" spans="1:21" s="144" customFormat="1">
      <c r="A31" s="145" t="s">
        <v>600</v>
      </c>
      <c r="B31" s="146">
        <f t="shared" si="6"/>
        <v>1939130</v>
      </c>
      <c r="C31" s="147">
        <v>1939130</v>
      </c>
      <c r="D31" s="147"/>
      <c r="E31" s="147"/>
      <c r="F31" s="147">
        <f>+C31</f>
        <v>1939130</v>
      </c>
      <c r="G31" s="147"/>
      <c r="H31" s="147"/>
      <c r="I31" s="147"/>
      <c r="J31" s="147"/>
      <c r="K31" s="147"/>
      <c r="L31" s="147"/>
      <c r="M31" s="147"/>
      <c r="N31" s="147"/>
      <c r="O31" s="147"/>
      <c r="P31" s="147"/>
      <c r="Q31" s="147"/>
      <c r="R31" s="516">
        <f t="shared" si="7"/>
        <v>1939130</v>
      </c>
      <c r="S31" s="147">
        <f t="shared" si="8"/>
        <v>1939130</v>
      </c>
      <c r="T31" s="147"/>
      <c r="U31" s="143"/>
    </row>
    <row r="32" spans="1:21" s="144" customFormat="1">
      <c r="A32" s="145" t="s">
        <v>137</v>
      </c>
      <c r="B32" s="146">
        <f t="shared" si="6"/>
        <v>682807</v>
      </c>
      <c r="C32" s="147">
        <v>682807</v>
      </c>
      <c r="D32" s="147"/>
      <c r="E32" s="147">
        <f>+C32</f>
        <v>682807</v>
      </c>
      <c r="F32" s="147"/>
      <c r="G32" s="147"/>
      <c r="H32" s="147"/>
      <c r="I32" s="147"/>
      <c r="J32" s="147"/>
      <c r="K32" s="147"/>
      <c r="L32" s="147"/>
      <c r="M32" s="147"/>
      <c r="N32" s="147"/>
      <c r="O32" s="147"/>
      <c r="P32" s="147"/>
      <c r="Q32" s="147"/>
      <c r="R32" s="516">
        <f t="shared" si="7"/>
        <v>682807</v>
      </c>
      <c r="S32" s="147">
        <f t="shared" si="8"/>
        <v>682807</v>
      </c>
      <c r="T32" s="147"/>
      <c r="U32" s="143"/>
    </row>
    <row r="33" spans="1:21" s="144" customFormat="1">
      <c r="A33" s="145" t="s">
        <v>138</v>
      </c>
      <c r="B33" s="146">
        <f t="shared" si="6"/>
        <v>2055283</v>
      </c>
      <c r="C33" s="147">
        <v>2055283</v>
      </c>
      <c r="D33" s="147"/>
      <c r="E33" s="147">
        <f>+C33</f>
        <v>2055283</v>
      </c>
      <c r="F33" s="147"/>
      <c r="G33" s="147"/>
      <c r="H33" s="147"/>
      <c r="I33" s="147"/>
      <c r="J33" s="147"/>
      <c r="K33" s="147"/>
      <c r="L33" s="147"/>
      <c r="M33" s="147"/>
      <c r="N33" s="147"/>
      <c r="O33" s="147"/>
      <c r="P33" s="147"/>
      <c r="Q33" s="147"/>
      <c r="R33" s="516">
        <f t="shared" si="7"/>
        <v>2055283</v>
      </c>
      <c r="S33" s="147">
        <f t="shared" si="8"/>
        <v>2055283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950000</v>
      </c>
      <c r="C35" s="147">
        <v>950000</v>
      </c>
      <c r="D35" s="147"/>
      <c r="E35" s="147">
        <f>+C35</f>
        <v>950000</v>
      </c>
      <c r="F35" s="147"/>
      <c r="G35" s="147"/>
      <c r="H35" s="147"/>
      <c r="I35" s="147"/>
      <c r="J35" s="147"/>
      <c r="K35" s="147"/>
      <c r="L35" s="147"/>
      <c r="M35" s="147"/>
      <c r="N35" s="147"/>
      <c r="O35" s="147"/>
      <c r="P35" s="147"/>
      <c r="Q35" s="147"/>
      <c r="R35" s="516">
        <f t="shared" si="7"/>
        <v>950000</v>
      </c>
      <c r="S35" s="147">
        <f t="shared" si="8"/>
        <v>950000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39000000</v>
      </c>
      <c r="C38" s="146">
        <f>SUM(C29:C37)</f>
        <v>39000000</v>
      </c>
      <c r="D38" s="146">
        <f t="shared" ref="D38:Q38" si="9">SUM(D29:D37)</f>
        <v>0</v>
      </c>
      <c r="E38" s="146">
        <f t="shared" si="9"/>
        <v>17407019</v>
      </c>
      <c r="F38" s="146">
        <f t="shared" si="9"/>
        <v>5212981</v>
      </c>
      <c r="G38" s="146">
        <f t="shared" si="9"/>
        <v>8010000</v>
      </c>
      <c r="H38" s="146">
        <f t="shared" si="9"/>
        <v>8370000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39000000</v>
      </c>
      <c r="S38" s="150">
        <f>SUM(S29:S37)</f>
        <v>39000000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925585</v>
      </c>
      <c r="C40" s="147">
        <v>925585</v>
      </c>
      <c r="D40" s="147"/>
      <c r="E40" s="147">
        <f>+C40</f>
        <v>925585</v>
      </c>
      <c r="F40" s="147"/>
      <c r="G40" s="147"/>
      <c r="H40" s="147"/>
      <c r="I40" s="147"/>
      <c r="J40" s="147"/>
      <c r="K40" s="147"/>
      <c r="L40" s="147"/>
      <c r="M40" s="147"/>
      <c r="N40" s="147"/>
      <c r="O40" s="147"/>
      <c r="P40" s="147"/>
      <c r="Q40" s="147"/>
      <c r="R40" s="516">
        <f>SUM(E40:Q40)</f>
        <v>925585</v>
      </c>
      <c r="S40" s="147">
        <f>+R40</f>
        <v>925585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2">
      <c r="A42" s="149" t="s">
        <v>147</v>
      </c>
      <c r="B42" s="146">
        <f>SUM(C42:D42)</f>
        <v>925585</v>
      </c>
      <c r="C42" s="146">
        <f>SUM(C39:C41)</f>
        <v>925585</v>
      </c>
      <c r="D42" s="146">
        <f>SUM(D39:D41)</f>
        <v>0</v>
      </c>
      <c r="E42" s="146">
        <f t="shared" ref="E42:T42" si="10">SUM(E40:E41)</f>
        <v>925585</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925585</v>
      </c>
      <c r="S42" s="150">
        <f t="shared" si="10"/>
        <v>925585</v>
      </c>
      <c r="T42" s="150">
        <f t="shared" si="10"/>
        <v>0</v>
      </c>
      <c r="U42" s="143"/>
    </row>
    <row r="43" spans="1:21" s="144" customFormat="1" ht="12">
      <c r="A43" s="149" t="s">
        <v>148</v>
      </c>
      <c r="B43" s="146">
        <f>SUM(C43:D43)</f>
        <v>1069067</v>
      </c>
      <c r="C43" s="147">
        <v>1069067</v>
      </c>
      <c r="D43" s="147"/>
      <c r="E43" s="147">
        <f>+C43</f>
        <v>1069067</v>
      </c>
      <c r="F43" s="147"/>
      <c r="G43" s="147"/>
      <c r="H43" s="147"/>
      <c r="I43" s="147"/>
      <c r="J43" s="147"/>
      <c r="K43" s="147"/>
      <c r="L43" s="147"/>
      <c r="M43" s="147"/>
      <c r="N43" s="147"/>
      <c r="O43" s="147"/>
      <c r="P43" s="147"/>
      <c r="Q43" s="147"/>
      <c r="R43" s="516">
        <f>SUM(E43:Q43)</f>
        <v>1069067</v>
      </c>
      <c r="S43" s="147">
        <f>+R43</f>
        <v>1069067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1750000</v>
      </c>
      <c r="C45" s="147">
        <v>1750000</v>
      </c>
      <c r="D45" s="147"/>
      <c r="E45" s="147">
        <f>+C45</f>
        <v>1750000</v>
      </c>
      <c r="F45" s="147"/>
      <c r="G45" s="147"/>
      <c r="H45" s="147"/>
      <c r="I45" s="147"/>
      <c r="J45" s="147"/>
      <c r="K45" s="147"/>
      <c r="L45" s="147"/>
      <c r="M45" s="147"/>
      <c r="N45" s="147"/>
      <c r="O45" s="147"/>
      <c r="P45" s="147"/>
      <c r="Q45" s="147"/>
      <c r="R45" s="516">
        <f t="shared" ref="R45:R53" si="12">SUM(E45:Q45)</f>
        <v>1750000</v>
      </c>
      <c r="S45" s="147">
        <f>+R45</f>
        <v>1750000</v>
      </c>
      <c r="T45" s="147"/>
      <c r="U45" s="143"/>
    </row>
    <row r="46" spans="1:21" s="144" customFormat="1">
      <c r="A46" s="145" t="s">
        <v>151</v>
      </c>
      <c r="B46" s="146">
        <f t="shared" si="11"/>
        <v>522490</v>
      </c>
      <c r="C46" s="147">
        <v>522490</v>
      </c>
      <c r="D46" s="147"/>
      <c r="E46" s="147">
        <f>+C46</f>
        <v>522490</v>
      </c>
      <c r="F46" s="147"/>
      <c r="G46" s="147"/>
      <c r="H46" s="147"/>
      <c r="I46" s="147"/>
      <c r="J46" s="147"/>
      <c r="K46" s="147"/>
      <c r="L46" s="147"/>
      <c r="M46" s="147"/>
      <c r="N46" s="147"/>
      <c r="O46" s="147"/>
      <c r="P46" s="147"/>
      <c r="Q46" s="147"/>
      <c r="R46" s="516">
        <f t="shared" si="12"/>
        <v>522490</v>
      </c>
      <c r="S46" s="147">
        <f t="shared" ref="S46:S53" si="13">+R46</f>
        <v>522490</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f t="shared" si="13"/>
        <v>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500000</v>
      </c>
      <c r="C49" s="147">
        <v>500000</v>
      </c>
      <c r="D49" s="147"/>
      <c r="E49" s="147">
        <f>+C49</f>
        <v>500000</v>
      </c>
      <c r="F49" s="147"/>
      <c r="G49" s="147"/>
      <c r="H49" s="147"/>
      <c r="I49" s="147"/>
      <c r="J49" s="147"/>
      <c r="K49" s="147"/>
      <c r="L49" s="147"/>
      <c r="M49" s="147"/>
      <c r="N49" s="147"/>
      <c r="O49" s="147"/>
      <c r="P49" s="147"/>
      <c r="Q49" s="147"/>
      <c r="R49" s="516">
        <f t="shared" si="12"/>
        <v>500000</v>
      </c>
      <c r="S49" s="147">
        <v>50000</v>
      </c>
      <c r="T49" s="147"/>
      <c r="U49" s="143"/>
    </row>
    <row r="50" spans="1:21" s="144" customFormat="1">
      <c r="A50" s="145" t="s">
        <v>156</v>
      </c>
      <c r="B50" s="146">
        <f t="shared" si="11"/>
        <v>85000</v>
      </c>
      <c r="C50" s="147">
        <v>85000</v>
      </c>
      <c r="D50" s="147"/>
      <c r="E50" s="147">
        <f t="shared" ref="E50:E53" si="14">+C50</f>
        <v>85000</v>
      </c>
      <c r="F50" s="147"/>
      <c r="G50" s="147"/>
      <c r="H50" s="147"/>
      <c r="I50" s="147"/>
      <c r="J50" s="147"/>
      <c r="K50" s="147"/>
      <c r="L50" s="147"/>
      <c r="M50" s="147"/>
      <c r="N50" s="147"/>
      <c r="O50" s="147"/>
      <c r="P50" s="147"/>
      <c r="Q50" s="147"/>
      <c r="R50" s="516">
        <f t="shared" si="12"/>
        <v>85000</v>
      </c>
      <c r="S50" s="147">
        <f t="shared" si="13"/>
        <v>85000</v>
      </c>
      <c r="T50" s="147"/>
      <c r="U50" s="143"/>
    </row>
    <row r="51" spans="1:21" s="144" customFormat="1">
      <c r="A51" s="283" t="s">
        <v>154</v>
      </c>
      <c r="B51" s="146">
        <f t="shared" si="11"/>
        <v>95334</v>
      </c>
      <c r="C51" s="147">
        <v>95334</v>
      </c>
      <c r="D51" s="147"/>
      <c r="E51" s="147">
        <f t="shared" si="14"/>
        <v>95334</v>
      </c>
      <c r="F51" s="147"/>
      <c r="G51" s="147"/>
      <c r="H51" s="147"/>
      <c r="I51" s="147"/>
      <c r="J51" s="147"/>
      <c r="K51" s="147"/>
      <c r="L51" s="147"/>
      <c r="M51" s="147"/>
      <c r="N51" s="147"/>
      <c r="O51" s="147"/>
      <c r="P51" s="147"/>
      <c r="Q51" s="147"/>
      <c r="R51" s="516">
        <f t="shared" si="12"/>
        <v>95334</v>
      </c>
      <c r="S51" s="147">
        <f t="shared" si="13"/>
        <v>95334</v>
      </c>
      <c r="T51" s="147"/>
      <c r="U51" s="143"/>
    </row>
    <row r="52" spans="1:21" s="144" customFormat="1">
      <c r="A52" s="145" t="s">
        <v>155</v>
      </c>
      <c r="B52" s="146">
        <f t="shared" si="11"/>
        <v>650000</v>
      </c>
      <c r="C52" s="147">
        <v>650000</v>
      </c>
      <c r="D52" s="147"/>
      <c r="E52" s="147">
        <f t="shared" si="14"/>
        <v>650000</v>
      </c>
      <c r="F52" s="147"/>
      <c r="G52" s="147"/>
      <c r="H52" s="147"/>
      <c r="I52" s="147"/>
      <c r="J52" s="147"/>
      <c r="K52" s="147"/>
      <c r="L52" s="147"/>
      <c r="M52" s="147"/>
      <c r="N52" s="147"/>
      <c r="O52" s="147"/>
      <c r="P52" s="147"/>
      <c r="Q52" s="147"/>
      <c r="R52" s="516">
        <f t="shared" si="12"/>
        <v>650000</v>
      </c>
      <c r="S52" s="147">
        <f t="shared" si="13"/>
        <v>650000</v>
      </c>
      <c r="T52" s="147"/>
      <c r="U52" s="143"/>
    </row>
    <row r="53" spans="1:21" s="144" customFormat="1" ht="22.8">
      <c r="A53" s="1143" t="s">
        <v>2743</v>
      </c>
      <c r="B53" s="146">
        <f t="shared" si="11"/>
        <v>271639</v>
      </c>
      <c r="C53" s="147">
        <f>168000+89639+14000</f>
        <v>271639</v>
      </c>
      <c r="D53" s="147"/>
      <c r="E53" s="147">
        <f t="shared" si="14"/>
        <v>271639</v>
      </c>
      <c r="F53" s="147"/>
      <c r="G53" s="147"/>
      <c r="H53" s="147"/>
      <c r="I53" s="147"/>
      <c r="J53" s="147"/>
      <c r="K53" s="147"/>
      <c r="L53" s="147"/>
      <c r="M53" s="147"/>
      <c r="N53" s="147"/>
      <c r="O53" s="147"/>
      <c r="P53" s="147"/>
      <c r="Q53" s="147"/>
      <c r="R53" s="516">
        <f t="shared" si="12"/>
        <v>271639</v>
      </c>
      <c r="S53" s="147">
        <f t="shared" si="13"/>
        <v>271639</v>
      </c>
      <c r="T53" s="147"/>
      <c r="U53" s="143"/>
    </row>
    <row r="54" spans="1:21" s="153" customFormat="1" ht="12">
      <c r="A54" s="149" t="s">
        <v>157</v>
      </c>
      <c r="B54" s="150">
        <f>SUM(C54:D54)</f>
        <v>3874463</v>
      </c>
      <c r="C54" s="150">
        <f t="shared" ref="C54:T54" si="15">SUM(C45:C53)</f>
        <v>3874463</v>
      </c>
      <c r="D54" s="150">
        <f t="shared" si="15"/>
        <v>0</v>
      </c>
      <c r="E54" s="150">
        <f t="shared" si="15"/>
        <v>3874463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3874463</v>
      </c>
      <c r="S54" s="150">
        <f t="shared" si="15"/>
        <v>3424463</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95926</v>
      </c>
      <c r="C56" s="147">
        <v>95926</v>
      </c>
      <c r="D56" s="147"/>
      <c r="E56" s="147">
        <f t="shared" ref="E56:E58" si="17">+C56</f>
        <v>95926</v>
      </c>
      <c r="F56" s="147"/>
      <c r="G56" s="147"/>
      <c r="H56" s="147"/>
      <c r="I56" s="147"/>
      <c r="J56" s="147"/>
      <c r="K56" s="147"/>
      <c r="L56" s="147"/>
      <c r="M56" s="147"/>
      <c r="N56" s="147"/>
      <c r="O56" s="147"/>
      <c r="P56" s="147"/>
      <c r="Q56" s="147"/>
      <c r="R56" s="516">
        <f t="shared" ref="R56:R61" si="18">SUM(E56:Q56)</f>
        <v>95926</v>
      </c>
      <c r="S56" s="148"/>
      <c r="T56" s="148"/>
      <c r="U56" s="143"/>
    </row>
    <row r="57" spans="1:21" s="192" customFormat="1">
      <c r="A57" s="186" t="s">
        <v>152</v>
      </c>
      <c r="B57" s="193">
        <f t="shared" si="16"/>
        <v>50000</v>
      </c>
      <c r="C57" s="190">
        <v>50000</v>
      </c>
      <c r="D57" s="190"/>
      <c r="E57" s="190">
        <f t="shared" si="17"/>
        <v>50000</v>
      </c>
      <c r="F57" s="190"/>
      <c r="G57" s="190"/>
      <c r="H57" s="190"/>
      <c r="I57" s="190"/>
      <c r="J57" s="190"/>
      <c r="K57" s="190"/>
      <c r="L57" s="190"/>
      <c r="M57" s="190"/>
      <c r="N57" s="190"/>
      <c r="O57" s="190"/>
      <c r="P57" s="190"/>
      <c r="Q57" s="190"/>
      <c r="R57" s="516">
        <f t="shared" si="18"/>
        <v>50000</v>
      </c>
      <c r="S57" s="194"/>
      <c r="T57" s="194"/>
      <c r="U57" s="191"/>
    </row>
    <row r="58" spans="1:21" s="144" customFormat="1">
      <c r="A58" s="145" t="s">
        <v>156</v>
      </c>
      <c r="B58" s="146">
        <f t="shared" si="16"/>
        <v>150000</v>
      </c>
      <c r="C58" s="147">
        <v>150000</v>
      </c>
      <c r="D58" s="147"/>
      <c r="E58" s="147">
        <f t="shared" si="17"/>
        <v>150000</v>
      </c>
      <c r="F58" s="147"/>
      <c r="G58" s="147"/>
      <c r="H58" s="147"/>
      <c r="I58" s="147"/>
      <c r="J58" s="147"/>
      <c r="K58" s="147"/>
      <c r="L58" s="147"/>
      <c r="M58" s="147"/>
      <c r="N58" s="147"/>
      <c r="O58" s="147"/>
      <c r="P58" s="147"/>
      <c r="Q58" s="147"/>
      <c r="R58" s="516">
        <f t="shared" si="18"/>
        <v>150000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ht="22.8">
      <c r="A61" s="1143" t="s">
        <v>2744</v>
      </c>
      <c r="B61" s="146">
        <f t="shared" si="16"/>
        <v>1500000</v>
      </c>
      <c r="C61" s="147">
        <v>1500000</v>
      </c>
      <c r="D61" s="147"/>
      <c r="E61" s="147">
        <f t="shared" ref="E61" si="19">+C61</f>
        <v>1500000</v>
      </c>
      <c r="F61" s="147"/>
      <c r="G61" s="147"/>
      <c r="H61" s="147"/>
      <c r="I61" s="147"/>
      <c r="J61" s="147"/>
      <c r="K61" s="147"/>
      <c r="L61" s="147"/>
      <c r="M61" s="147"/>
      <c r="N61" s="147"/>
      <c r="O61" s="147"/>
      <c r="P61" s="147"/>
      <c r="Q61" s="147"/>
      <c r="R61" s="516">
        <f t="shared" si="18"/>
        <v>1500000</v>
      </c>
      <c r="S61" s="148"/>
      <c r="T61" s="148"/>
      <c r="U61" s="143"/>
    </row>
    <row r="62" spans="1:21" s="144" customFormat="1" ht="13.65" customHeight="1">
      <c r="A62" s="149" t="s">
        <v>301</v>
      </c>
      <c r="B62" s="146">
        <f>SUM(C62:D62)</f>
        <v>1795926</v>
      </c>
      <c r="C62" s="146">
        <f t="shared" ref="C62:R62" si="20">SUM(C56:C61)</f>
        <v>1795926</v>
      </c>
      <c r="D62" s="146">
        <f t="shared" si="20"/>
        <v>0</v>
      </c>
      <c r="E62" s="146">
        <f t="shared" si="20"/>
        <v>1795926</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1795926</v>
      </c>
      <c r="S62" s="148"/>
      <c r="T62" s="148"/>
      <c r="U62" s="143"/>
    </row>
    <row r="63" spans="1:21" s="144" customFormat="1">
      <c r="A63" s="154" t="s">
        <v>302</v>
      </c>
      <c r="B63" s="146">
        <f t="shared" ref="B63:R63" si="21">SUM(B8+B11+B13+B14+B15+B26+B27+B38+B42+B43+B54+B62)</f>
        <v>51044706</v>
      </c>
      <c r="C63" s="146">
        <f t="shared" si="21"/>
        <v>51044706</v>
      </c>
      <c r="D63" s="146">
        <f t="shared" si="21"/>
        <v>0</v>
      </c>
      <c r="E63" s="146">
        <f t="shared" si="21"/>
        <v>25072060</v>
      </c>
      <c r="F63" s="146">
        <f t="shared" si="21"/>
        <v>9592646</v>
      </c>
      <c r="G63" s="146">
        <f t="shared" si="21"/>
        <v>8010000</v>
      </c>
      <c r="H63" s="146">
        <f t="shared" si="21"/>
        <v>8370000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51044706</v>
      </c>
      <c r="S63" s="146">
        <f>SUM(S10+S13+S14+S15+S26+S27+S38+S42+S43+S54)</f>
        <v>44419115</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 t="shared" ref="E65" si="22">+C65</f>
        <v>100000</v>
      </c>
      <c r="F65" s="147"/>
      <c r="G65" s="147"/>
      <c r="H65" s="147"/>
      <c r="I65" s="147"/>
      <c r="J65" s="147"/>
      <c r="K65" s="147"/>
      <c r="L65" s="147"/>
      <c r="M65" s="147"/>
      <c r="N65" s="147"/>
      <c r="O65" s="147"/>
      <c r="P65" s="147"/>
      <c r="Q65" s="147"/>
      <c r="R65" s="516">
        <f>SUM(E65:Q65)</f>
        <v>100000</v>
      </c>
      <c r="S65" s="147">
        <v>40000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2745</v>
      </c>
      <c r="B69" s="146">
        <f>SUM(C69+D69)</f>
        <v>395000</v>
      </c>
      <c r="C69" s="147">
        <v>395000</v>
      </c>
      <c r="D69" s="147"/>
      <c r="E69" s="147">
        <f t="shared" ref="E69" si="23">+C69</f>
        <v>395000</v>
      </c>
      <c r="F69" s="147"/>
      <c r="G69" s="147"/>
      <c r="H69" s="147"/>
      <c r="I69" s="147"/>
      <c r="J69" s="147"/>
      <c r="K69" s="147"/>
      <c r="L69" s="147"/>
      <c r="M69" s="147"/>
      <c r="N69" s="147"/>
      <c r="O69" s="147"/>
      <c r="P69" s="147"/>
      <c r="Q69" s="147"/>
      <c r="R69" s="516">
        <f>SUM(E69:Q69)</f>
        <v>395000</v>
      </c>
      <c r="S69" s="147"/>
      <c r="T69" s="147"/>
      <c r="U69" s="143"/>
    </row>
    <row r="70" spans="1:21" s="144" customFormat="1" ht="12">
      <c r="A70" s="149" t="s">
        <v>1633</v>
      </c>
      <c r="B70" s="146">
        <f>SUM(C70:D70)</f>
        <v>495000</v>
      </c>
      <c r="C70" s="146">
        <f>SUM(C65:C69)</f>
        <v>495000</v>
      </c>
      <c r="D70" s="146">
        <f>SUM(D65:D69)</f>
        <v>0</v>
      </c>
      <c r="E70" s="146">
        <f t="shared" ref="E70:T70" si="24">SUM(E65:E69)</f>
        <v>495000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495000</v>
      </c>
      <c r="S70" s="150">
        <f t="shared" si="24"/>
        <v>40000</v>
      </c>
      <c r="T70" s="150">
        <f t="shared" si="24"/>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479864</v>
      </c>
      <c r="C75" s="147">
        <v>479864</v>
      </c>
      <c r="D75" s="147"/>
      <c r="E75" s="147">
        <f t="shared" ref="E75:E76" si="25">+C75</f>
        <v>479864</v>
      </c>
      <c r="F75" s="147"/>
      <c r="G75" s="147"/>
      <c r="H75" s="147"/>
      <c r="I75" s="147"/>
      <c r="J75" s="147"/>
      <c r="K75" s="147"/>
      <c r="L75" s="147"/>
      <c r="M75" s="147"/>
      <c r="N75" s="147"/>
      <c r="O75" s="147"/>
      <c r="P75" s="147"/>
      <c r="Q75" s="147"/>
      <c r="R75" s="516">
        <f>SUM(E75:Q75)</f>
        <v>479864</v>
      </c>
      <c r="S75" s="148"/>
      <c r="T75" s="148"/>
      <c r="U75" s="143"/>
    </row>
    <row r="76" spans="1:21" s="144" customFormat="1" ht="22.8">
      <c r="A76" s="1143" t="s">
        <v>2746</v>
      </c>
      <c r="B76" s="146">
        <f>SUM(C76+D76)</f>
        <v>532472</v>
      </c>
      <c r="C76" s="147">
        <v>532472</v>
      </c>
      <c r="D76" s="147"/>
      <c r="E76" s="147">
        <f t="shared" si="25"/>
        <v>532472</v>
      </c>
      <c r="F76" s="147"/>
      <c r="G76" s="147"/>
      <c r="H76" s="147"/>
      <c r="I76" s="147"/>
      <c r="J76" s="147"/>
      <c r="K76" s="147"/>
      <c r="L76" s="147"/>
      <c r="M76" s="147"/>
      <c r="N76" s="147"/>
      <c r="O76" s="147"/>
      <c r="P76" s="147"/>
      <c r="Q76" s="147"/>
      <c r="R76" s="516">
        <f>SUM(E76:Q76)</f>
        <v>532472</v>
      </c>
      <c r="S76" s="148"/>
      <c r="T76" s="148"/>
      <c r="U76" s="143"/>
    </row>
    <row r="77" spans="1:21" s="144" customFormat="1" ht="12">
      <c r="A77" s="149" t="s">
        <v>606</v>
      </c>
      <c r="B77" s="146">
        <f>SUM(C77:D77)</f>
        <v>1012336</v>
      </c>
      <c r="C77" s="146">
        <f>SUM(C72:C76)</f>
        <v>1012336</v>
      </c>
      <c r="D77" s="146">
        <f>SUM(D72:D76)</f>
        <v>0</v>
      </c>
      <c r="E77" s="146">
        <f t="shared" ref="E77:Q77" si="26">SUM(E72:E76)</f>
        <v>1012336</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1012336</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3900000</v>
      </c>
      <c r="C79" s="147">
        <v>3900000</v>
      </c>
      <c r="D79" s="147"/>
      <c r="E79" s="147">
        <f t="shared" ref="E79" si="27">+C79</f>
        <v>3900000</v>
      </c>
      <c r="F79" s="147"/>
      <c r="G79" s="147"/>
      <c r="H79" s="147"/>
      <c r="I79" s="147"/>
      <c r="J79" s="147"/>
      <c r="K79" s="147"/>
      <c r="L79" s="147"/>
      <c r="M79" s="147"/>
      <c r="N79" s="147"/>
      <c r="O79" s="147"/>
      <c r="P79" s="147"/>
      <c r="Q79" s="147"/>
      <c r="R79" s="516">
        <f>SUM(E79:Q79)</f>
        <v>3900000</v>
      </c>
      <c r="S79" s="147">
        <f>+R79</f>
        <v>3900000</v>
      </c>
      <c r="T79" s="147"/>
      <c r="U79" s="143"/>
    </row>
    <row r="80" spans="1:21" s="144" customFormat="1">
      <c r="A80" s="283" t="s">
        <v>58</v>
      </c>
      <c r="B80" s="146">
        <f>SUM(C80:D80)</f>
        <v>445124</v>
      </c>
      <c r="C80" s="147">
        <v>445124</v>
      </c>
      <c r="D80" s="147"/>
      <c r="E80" s="147">
        <f>+C80</f>
        <v>445124</v>
      </c>
      <c r="F80" s="147"/>
      <c r="G80" s="147"/>
      <c r="H80" s="147"/>
      <c r="I80" s="147"/>
      <c r="J80" s="147"/>
      <c r="K80" s="147"/>
      <c r="L80" s="147"/>
      <c r="M80" s="147"/>
      <c r="N80" s="147"/>
      <c r="O80" s="147"/>
      <c r="P80" s="147"/>
      <c r="Q80" s="147"/>
      <c r="R80" s="516">
        <f>SUM(E80:Q80)</f>
        <v>445124</v>
      </c>
      <c r="S80" s="147">
        <f>+C80</f>
        <v>445124</v>
      </c>
      <c r="T80" s="147"/>
      <c r="U80" s="143"/>
    </row>
    <row r="81" spans="1:21" s="144" customFormat="1" ht="12">
      <c r="A81" s="149" t="s">
        <v>1208</v>
      </c>
      <c r="B81" s="146">
        <f>SUM(C81:D81)</f>
        <v>4345124</v>
      </c>
      <c r="C81" s="509">
        <f>SUM(C79:C80)</f>
        <v>4345124</v>
      </c>
      <c r="D81" s="509">
        <f t="shared" ref="D81:T81" si="28">SUM(D79:D80)</f>
        <v>0</v>
      </c>
      <c r="E81" s="509">
        <f t="shared" si="28"/>
        <v>4345124</v>
      </c>
      <c r="F81" s="509">
        <f t="shared" si="28"/>
        <v>0</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4345124</v>
      </c>
      <c r="S81" s="509">
        <f t="shared" si="28"/>
        <v>4345124</v>
      </c>
      <c r="T81" s="509">
        <f t="shared" si="28"/>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2048</v>
      </c>
      <c r="B83" s="146">
        <f t="shared" ref="B83:B95" si="29">SUM(C83+D83)</f>
        <v>230062</v>
      </c>
      <c r="C83" s="147">
        <v>230062</v>
      </c>
      <c r="D83" s="147"/>
      <c r="E83" s="147">
        <f t="shared" ref="E83:E86" si="30">+C83</f>
        <v>230062</v>
      </c>
      <c r="F83" s="147"/>
      <c r="G83" s="147"/>
      <c r="H83" s="147"/>
      <c r="I83" s="147"/>
      <c r="J83" s="147"/>
      <c r="K83" s="147"/>
      <c r="L83" s="147"/>
      <c r="M83" s="147"/>
      <c r="N83" s="147"/>
      <c r="O83" s="147"/>
      <c r="P83" s="147"/>
      <c r="Q83" s="147"/>
      <c r="R83" s="516">
        <f t="shared" ref="R83:R95" si="31">SUM(E83:Q83)</f>
        <v>230062</v>
      </c>
      <c r="S83" s="148"/>
      <c r="T83" s="148"/>
      <c r="U83" s="143"/>
    </row>
    <row r="84" spans="1:21" s="144" customFormat="1">
      <c r="A84" s="145" t="s">
        <v>767</v>
      </c>
      <c r="B84" s="146">
        <f t="shared" si="29"/>
        <v>45000</v>
      </c>
      <c r="C84" s="147">
        <v>45000</v>
      </c>
      <c r="D84" s="147"/>
      <c r="E84" s="147">
        <f t="shared" si="30"/>
        <v>45000</v>
      </c>
      <c r="F84" s="147"/>
      <c r="G84" s="147"/>
      <c r="H84" s="147"/>
      <c r="I84" s="147"/>
      <c r="J84" s="147"/>
      <c r="K84" s="147"/>
      <c r="L84" s="147"/>
      <c r="M84" s="147"/>
      <c r="N84" s="147"/>
      <c r="O84" s="147"/>
      <c r="P84" s="147"/>
      <c r="Q84" s="147"/>
      <c r="R84" s="516">
        <f t="shared" si="31"/>
        <v>45000</v>
      </c>
      <c r="S84" s="147">
        <f>+R84</f>
        <v>45000</v>
      </c>
      <c r="T84" s="147"/>
      <c r="U84" s="143"/>
    </row>
    <row r="85" spans="1:21" s="144" customFormat="1">
      <c r="A85" s="145" t="s">
        <v>768</v>
      </c>
      <c r="B85" s="146">
        <f t="shared" si="29"/>
        <v>543638</v>
      </c>
      <c r="C85" s="147">
        <v>543638</v>
      </c>
      <c r="D85" s="147"/>
      <c r="E85" s="147">
        <f t="shared" si="30"/>
        <v>543638</v>
      </c>
      <c r="F85" s="147"/>
      <c r="G85" s="147"/>
      <c r="H85" s="147"/>
      <c r="I85" s="147"/>
      <c r="J85" s="147"/>
      <c r="K85" s="147"/>
      <c r="L85" s="147"/>
      <c r="M85" s="147"/>
      <c r="N85" s="147"/>
      <c r="O85" s="147"/>
      <c r="P85" s="147"/>
      <c r="Q85" s="147"/>
      <c r="R85" s="516">
        <f t="shared" si="31"/>
        <v>543638</v>
      </c>
      <c r="S85" s="147">
        <f t="shared" ref="S85:S86" si="32">+R85</f>
        <v>543638</v>
      </c>
      <c r="T85" s="147"/>
      <c r="U85" s="143"/>
    </row>
    <row r="86" spans="1:21" s="144" customFormat="1">
      <c r="A86" s="145" t="s">
        <v>769</v>
      </c>
      <c r="B86" s="146">
        <f t="shared" si="29"/>
        <v>1133662</v>
      </c>
      <c r="C86" s="147">
        <v>1133662</v>
      </c>
      <c r="D86" s="147"/>
      <c r="E86" s="147">
        <f t="shared" si="30"/>
        <v>1133662</v>
      </c>
      <c r="F86" s="147"/>
      <c r="G86" s="147"/>
      <c r="H86" s="147"/>
      <c r="I86" s="147"/>
      <c r="J86" s="147"/>
      <c r="K86" s="147"/>
      <c r="L86" s="147"/>
      <c r="M86" s="147"/>
      <c r="N86" s="147"/>
      <c r="O86" s="147"/>
      <c r="P86" s="147"/>
      <c r="Q86" s="147"/>
      <c r="R86" s="516">
        <f t="shared" si="31"/>
        <v>1133662</v>
      </c>
      <c r="S86" s="147">
        <f t="shared" si="32"/>
        <v>1133662</v>
      </c>
      <c r="T86" s="147"/>
      <c r="U86" s="143"/>
    </row>
    <row r="87" spans="1:21" s="144" customFormat="1">
      <c r="A87" s="145" t="s">
        <v>770</v>
      </c>
      <c r="B87" s="146">
        <f t="shared" si="29"/>
        <v>0</v>
      </c>
      <c r="C87" s="147"/>
      <c r="D87" s="147"/>
      <c r="E87" s="147"/>
      <c r="F87" s="147"/>
      <c r="G87" s="147"/>
      <c r="H87" s="147"/>
      <c r="I87" s="147"/>
      <c r="J87" s="147"/>
      <c r="K87" s="147"/>
      <c r="L87" s="147"/>
      <c r="M87" s="147"/>
      <c r="N87" s="147"/>
      <c r="O87" s="147"/>
      <c r="P87" s="147"/>
      <c r="Q87" s="147"/>
      <c r="R87" s="516">
        <f t="shared" si="31"/>
        <v>0</v>
      </c>
      <c r="S87" s="147"/>
      <c r="T87" s="147"/>
      <c r="U87" s="143"/>
    </row>
    <row r="88" spans="1:21" s="144" customFormat="1">
      <c r="A88" s="145" t="s">
        <v>771</v>
      </c>
      <c r="B88" s="146">
        <f t="shared" si="29"/>
        <v>57411</v>
      </c>
      <c r="C88" s="147">
        <f>20000+37411</f>
        <v>57411</v>
      </c>
      <c r="D88" s="147"/>
      <c r="E88" s="147">
        <f t="shared" ref="E88:E94" si="33">+C88</f>
        <v>57411</v>
      </c>
      <c r="F88" s="147"/>
      <c r="G88" s="147"/>
      <c r="H88" s="147"/>
      <c r="I88" s="147"/>
      <c r="J88" s="147"/>
      <c r="K88" s="147"/>
      <c r="L88" s="147"/>
      <c r="M88" s="147"/>
      <c r="N88" s="147"/>
      <c r="O88" s="147"/>
      <c r="P88" s="147"/>
      <c r="Q88" s="147"/>
      <c r="R88" s="516">
        <f t="shared" si="31"/>
        <v>57411</v>
      </c>
      <c r="S88" s="148"/>
      <c r="T88" s="148"/>
      <c r="U88" s="143"/>
    </row>
    <row r="89" spans="1:21" s="144" customFormat="1">
      <c r="A89" s="145" t="s">
        <v>772</v>
      </c>
      <c r="B89" s="146">
        <f t="shared" si="29"/>
        <v>483950</v>
      </c>
      <c r="C89" s="147">
        <v>483950</v>
      </c>
      <c r="D89" s="147"/>
      <c r="E89" s="147">
        <f>+C89</f>
        <v>483950</v>
      </c>
      <c r="F89" s="147"/>
      <c r="G89" s="147"/>
      <c r="H89" s="147"/>
      <c r="I89" s="147"/>
      <c r="J89" s="147"/>
      <c r="K89" s="147"/>
      <c r="L89" s="147"/>
      <c r="M89" s="147"/>
      <c r="N89" s="147"/>
      <c r="O89" s="147"/>
      <c r="P89" s="147"/>
      <c r="Q89" s="147"/>
      <c r="R89" s="516">
        <f t="shared" si="31"/>
        <v>483950</v>
      </c>
      <c r="S89" s="147">
        <f t="shared" ref="S89:S95" si="34">+R89</f>
        <v>483950</v>
      </c>
      <c r="T89" s="147"/>
      <c r="U89" s="143"/>
    </row>
    <row r="90" spans="1:21" s="144" customFormat="1">
      <c r="A90" s="145" t="s">
        <v>773</v>
      </c>
      <c r="B90" s="146">
        <f t="shared" si="29"/>
        <v>25000</v>
      </c>
      <c r="C90" s="147">
        <v>25000</v>
      </c>
      <c r="D90" s="147"/>
      <c r="E90" s="147">
        <f t="shared" si="33"/>
        <v>25000</v>
      </c>
      <c r="F90" s="147"/>
      <c r="G90" s="147"/>
      <c r="H90" s="147"/>
      <c r="I90" s="147"/>
      <c r="J90" s="147"/>
      <c r="K90" s="147"/>
      <c r="L90" s="147"/>
      <c r="M90" s="147"/>
      <c r="N90" s="147"/>
      <c r="O90" s="147"/>
      <c r="P90" s="147"/>
      <c r="Q90" s="147"/>
      <c r="R90" s="516">
        <f t="shared" si="31"/>
        <v>25000</v>
      </c>
      <c r="S90" s="147">
        <f t="shared" si="34"/>
        <v>25000</v>
      </c>
      <c r="T90" s="147"/>
      <c r="U90" s="143"/>
    </row>
    <row r="91" spans="1:21" s="144" customFormat="1">
      <c r="A91" s="145" t="s">
        <v>372</v>
      </c>
      <c r="B91" s="146">
        <f t="shared" si="29"/>
        <v>25000</v>
      </c>
      <c r="C91" s="147">
        <v>25000</v>
      </c>
      <c r="D91" s="147"/>
      <c r="E91" s="147">
        <f t="shared" si="33"/>
        <v>25000</v>
      </c>
      <c r="F91" s="147"/>
      <c r="G91" s="147"/>
      <c r="H91" s="147"/>
      <c r="I91" s="147"/>
      <c r="J91" s="147"/>
      <c r="K91" s="147"/>
      <c r="L91" s="147"/>
      <c r="M91" s="147"/>
      <c r="N91" s="147"/>
      <c r="O91" s="147"/>
      <c r="P91" s="147"/>
      <c r="Q91" s="147"/>
      <c r="R91" s="516">
        <f t="shared" si="31"/>
        <v>25000</v>
      </c>
      <c r="S91" s="147">
        <f t="shared" si="34"/>
        <v>25000</v>
      </c>
      <c r="T91" s="147"/>
      <c r="U91" s="143"/>
    </row>
    <row r="92" spans="1:21" s="144" customFormat="1">
      <c r="A92" s="283" t="s">
        <v>1210</v>
      </c>
      <c r="B92" s="146">
        <f t="shared" si="29"/>
        <v>15000</v>
      </c>
      <c r="C92" s="147">
        <v>15000</v>
      </c>
      <c r="D92" s="147"/>
      <c r="E92" s="147">
        <f t="shared" si="33"/>
        <v>15000</v>
      </c>
      <c r="F92" s="147"/>
      <c r="G92" s="147"/>
      <c r="H92" s="147"/>
      <c r="I92" s="147"/>
      <c r="J92" s="147"/>
      <c r="K92" s="147"/>
      <c r="L92" s="147"/>
      <c r="M92" s="147"/>
      <c r="N92" s="147"/>
      <c r="O92" s="147"/>
      <c r="P92" s="147"/>
      <c r="Q92" s="147"/>
      <c r="R92" s="516">
        <f t="shared" si="31"/>
        <v>15000</v>
      </c>
      <c r="S92" s="147">
        <f t="shared" si="34"/>
        <v>15000</v>
      </c>
      <c r="T92" s="147"/>
      <c r="U92" s="143"/>
    </row>
    <row r="93" spans="1:21" s="144" customFormat="1">
      <c r="A93" s="1143" t="s">
        <v>2747</v>
      </c>
      <c r="B93" s="146">
        <f t="shared" si="29"/>
        <v>147100</v>
      </c>
      <c r="C93" s="147">
        <v>147100</v>
      </c>
      <c r="D93" s="147"/>
      <c r="E93" s="147">
        <f t="shared" si="33"/>
        <v>147100</v>
      </c>
      <c r="F93" s="147"/>
      <c r="G93" s="147"/>
      <c r="H93" s="147"/>
      <c r="I93" s="147"/>
      <c r="J93" s="147"/>
      <c r="K93" s="147"/>
      <c r="L93" s="147"/>
      <c r="M93" s="147"/>
      <c r="N93" s="147"/>
      <c r="O93" s="147"/>
      <c r="P93" s="147"/>
      <c r="Q93" s="147"/>
      <c r="R93" s="516">
        <f t="shared" si="31"/>
        <v>147100</v>
      </c>
      <c r="S93" s="147"/>
      <c r="T93" s="147"/>
      <c r="U93" s="143"/>
    </row>
    <row r="94" spans="1:21" s="144" customFormat="1">
      <c r="A94" s="1143" t="s">
        <v>2748</v>
      </c>
      <c r="B94" s="146">
        <f t="shared" si="29"/>
        <v>262247</v>
      </c>
      <c r="C94" s="147">
        <v>262247</v>
      </c>
      <c r="D94" s="147"/>
      <c r="E94" s="147">
        <f t="shared" si="33"/>
        <v>262247</v>
      </c>
      <c r="F94" s="147"/>
      <c r="G94" s="147"/>
      <c r="H94" s="147"/>
      <c r="I94" s="147"/>
      <c r="J94" s="147"/>
      <c r="K94" s="147"/>
      <c r="L94" s="147"/>
      <c r="M94" s="147"/>
      <c r="N94" s="147"/>
      <c r="O94" s="147"/>
      <c r="P94" s="147"/>
      <c r="Q94" s="147"/>
      <c r="R94" s="516">
        <f t="shared" si="31"/>
        <v>262247</v>
      </c>
      <c r="S94" s="147">
        <f t="shared" si="34"/>
        <v>262247</v>
      </c>
      <c r="T94" s="147"/>
      <c r="U94" s="143"/>
    </row>
    <row r="95" spans="1:21" s="144" customFormat="1">
      <c r="A95" s="1143"/>
      <c r="B95" s="146">
        <f t="shared" si="29"/>
        <v>0</v>
      </c>
      <c r="C95" s="147"/>
      <c r="D95" s="147"/>
      <c r="E95" s="147"/>
      <c r="F95" s="147"/>
      <c r="G95" s="147"/>
      <c r="H95" s="147"/>
      <c r="I95" s="147"/>
      <c r="J95" s="147"/>
      <c r="K95" s="147"/>
      <c r="L95" s="147"/>
      <c r="M95" s="147"/>
      <c r="N95" s="147"/>
      <c r="O95" s="147"/>
      <c r="P95" s="147"/>
      <c r="Q95" s="147"/>
      <c r="R95" s="516">
        <f t="shared" si="31"/>
        <v>0</v>
      </c>
      <c r="S95" s="147">
        <f t="shared" si="34"/>
        <v>0</v>
      </c>
      <c r="T95" s="147"/>
      <c r="U95" s="143"/>
    </row>
    <row r="96" spans="1:21" s="144" customFormat="1" ht="12">
      <c r="A96" s="149" t="s">
        <v>774</v>
      </c>
      <c r="B96" s="146">
        <f>SUM(C96:D96)</f>
        <v>2968070</v>
      </c>
      <c r="C96" s="146">
        <f t="shared" ref="C96:R96" si="35">SUM(C83:C95)</f>
        <v>2968070</v>
      </c>
      <c r="D96" s="146">
        <f t="shared" si="35"/>
        <v>0</v>
      </c>
      <c r="E96" s="146">
        <f t="shared" si="35"/>
        <v>2968070</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2968070</v>
      </c>
      <c r="S96" s="150">
        <f>SUM(S84:S87,S89:S95)</f>
        <v>2533497</v>
      </c>
      <c r="T96" s="146">
        <f>SUM(T84:T87,T89:T95)</f>
        <v>0</v>
      </c>
      <c r="U96" s="143"/>
    </row>
    <row r="97" spans="1:21" s="144" customFormat="1" ht="12">
      <c r="A97" s="149" t="s">
        <v>775</v>
      </c>
      <c r="B97" s="146">
        <f>SUM(C97:D97)</f>
        <v>59865236</v>
      </c>
      <c r="C97" s="146">
        <f t="shared" ref="C97:R97" si="36">SUM(C63+C70+C77+C81+C96)</f>
        <v>59865236</v>
      </c>
      <c r="D97" s="146">
        <f t="shared" si="36"/>
        <v>0</v>
      </c>
      <c r="E97" s="146">
        <f t="shared" si="36"/>
        <v>33892590</v>
      </c>
      <c r="F97" s="146">
        <f t="shared" si="36"/>
        <v>9592646</v>
      </c>
      <c r="G97" s="146">
        <f t="shared" si="36"/>
        <v>8010000</v>
      </c>
      <c r="H97" s="146">
        <f t="shared" si="36"/>
        <v>8370000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59865236</v>
      </c>
      <c r="S97" s="146">
        <f>SUM(S63+S70+S81+S96)</f>
        <v>51337736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4000000</v>
      </c>
      <c r="C99" s="974">
        <v>4000000</v>
      </c>
      <c r="D99" s="974"/>
      <c r="E99" s="974">
        <f>+C99-I99</f>
        <v>2800000</v>
      </c>
      <c r="F99" s="147"/>
      <c r="G99" s="147"/>
      <c r="H99" s="147"/>
      <c r="I99" s="147">
        <v>1200000</v>
      </c>
      <c r="J99" s="147"/>
      <c r="K99" s="147"/>
      <c r="L99" s="147"/>
      <c r="M99" s="147"/>
      <c r="N99" s="147"/>
      <c r="O99" s="147"/>
      <c r="P99" s="147"/>
      <c r="Q99" s="147"/>
      <c r="R99" s="516">
        <f>SUM(E99:Q99)</f>
        <v>4000000</v>
      </c>
      <c r="S99" s="147">
        <f t="shared" ref="S99" si="37">+R99</f>
        <v>4000000</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4000000</v>
      </c>
      <c r="C104" s="146">
        <f>SUM(C99:C103)</f>
        <v>4000000</v>
      </c>
      <c r="D104" s="146">
        <f t="shared" ref="D104:T104" si="38">SUM(D99:D103)</f>
        <v>0</v>
      </c>
      <c r="E104" s="146">
        <f t="shared" si="38"/>
        <v>2800000</v>
      </c>
      <c r="F104" s="146">
        <f t="shared" si="38"/>
        <v>0</v>
      </c>
      <c r="G104" s="146">
        <f t="shared" si="38"/>
        <v>0</v>
      </c>
      <c r="H104" s="146">
        <f t="shared" si="38"/>
        <v>0</v>
      </c>
      <c r="I104" s="146">
        <f t="shared" si="38"/>
        <v>1200000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4000000</v>
      </c>
      <c r="S104" s="150">
        <f t="shared" si="38"/>
        <v>4000000</v>
      </c>
      <c r="T104" s="150">
        <f t="shared" si="38"/>
        <v>0</v>
      </c>
      <c r="U104" s="143"/>
    </row>
    <row r="105" spans="1:21" s="144" customFormat="1" ht="12">
      <c r="A105" s="149" t="s">
        <v>780</v>
      </c>
      <c r="B105" s="150">
        <f>SUM(C105:D105)</f>
        <v>63865236</v>
      </c>
      <c r="C105" s="150">
        <f t="shared" ref="C105:R105" si="39">SUM(C97+C104)</f>
        <v>63865236</v>
      </c>
      <c r="D105" s="150">
        <f t="shared" si="39"/>
        <v>0</v>
      </c>
      <c r="E105" s="150">
        <f t="shared" si="39"/>
        <v>36692590</v>
      </c>
      <c r="F105" s="150">
        <f t="shared" si="39"/>
        <v>9592646</v>
      </c>
      <c r="G105" s="150">
        <f t="shared" si="39"/>
        <v>8010000</v>
      </c>
      <c r="H105" s="150">
        <f t="shared" si="39"/>
        <v>8370000</v>
      </c>
      <c r="I105" s="150">
        <f t="shared" si="39"/>
        <v>1200000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63865236</v>
      </c>
      <c r="S105" s="150">
        <f>S97+S104</f>
        <v>55337736</v>
      </c>
      <c r="T105" s="150">
        <f>T97+T104</f>
        <v>0</v>
      </c>
      <c r="U105" s="143"/>
    </row>
    <row r="106" spans="1:21" ht="12">
      <c r="A106" s="514" t="s">
        <v>1019</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55337736</v>
      </c>
      <c r="T107" s="150">
        <f>T105+T106</f>
        <v>0</v>
      </c>
    </row>
    <row r="108" spans="1:21" s="189" customFormat="1" ht="12">
      <c r="A108" s="162" t="s">
        <v>879</v>
      </c>
      <c r="B108" s="157"/>
      <c r="C108" s="157"/>
      <c r="D108" s="157"/>
      <c r="E108" s="301">
        <f>Application!AO648</f>
        <v>36692590</v>
      </c>
      <c r="F108" s="301">
        <f>Application!AO635</f>
        <v>9592646</v>
      </c>
      <c r="G108" s="301">
        <f>Application!AO636</f>
        <v>8010000</v>
      </c>
      <c r="H108" s="301">
        <f>Application!AO637</f>
        <v>8370000</v>
      </c>
      <c r="I108" s="301">
        <f>Application!AO638</f>
        <v>1200000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2049</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91" t="s">
        <v>989</v>
      </c>
      <c r="E122" s="1891"/>
      <c r="F122" s="1891"/>
      <c r="G122" s="324"/>
      <c r="H122" s="324"/>
      <c r="I122" s="324"/>
      <c r="J122" s="324"/>
      <c r="K122" s="324"/>
      <c r="L122" s="324"/>
      <c r="M122" s="324"/>
      <c r="N122" s="324"/>
      <c r="O122" s="324"/>
      <c r="P122" s="324"/>
      <c r="Q122" s="324"/>
      <c r="R122" s="324"/>
      <c r="S122" s="324"/>
      <c r="T122" s="324"/>
      <c r="U122" s="326"/>
    </row>
    <row r="123" spans="1:21">
      <c r="A123" s="324" t="s">
        <v>990</v>
      </c>
      <c r="B123" s="333"/>
      <c r="C123" s="324"/>
      <c r="D123" s="1893" t="s">
        <v>1223</v>
      </c>
      <c r="E123" s="1830"/>
      <c r="F123" s="1830"/>
      <c r="G123" s="1830"/>
      <c r="H123" s="1830"/>
      <c r="I123" s="1830"/>
      <c r="J123" s="1830"/>
      <c r="K123" s="1830"/>
      <c r="L123" s="1830"/>
      <c r="M123" s="1830"/>
      <c r="N123" s="1830"/>
      <c r="O123" s="1830"/>
      <c r="P123" s="1830"/>
      <c r="Q123" s="1830"/>
      <c r="R123" s="1830"/>
      <c r="S123" s="1830"/>
      <c r="T123" s="324"/>
      <c r="U123" s="326"/>
    </row>
    <row r="124" spans="1:21" ht="13.2">
      <c r="A124" s="117" t="s">
        <v>991</v>
      </c>
      <c r="B124" s="333"/>
      <c r="C124" s="117"/>
      <c r="D124" s="1830"/>
      <c r="E124" s="1830"/>
      <c r="F124" s="1830"/>
      <c r="G124" s="1830"/>
      <c r="H124" s="1830"/>
      <c r="I124" s="1830"/>
      <c r="J124" s="1830"/>
      <c r="K124" s="1830"/>
      <c r="L124" s="1830"/>
      <c r="M124" s="1830"/>
      <c r="N124" s="1830"/>
      <c r="O124" s="1830"/>
      <c r="P124" s="1830"/>
      <c r="Q124" s="1830"/>
      <c r="R124" s="1830"/>
      <c r="S124" s="1830"/>
      <c r="T124" s="324"/>
      <c r="U124" s="326"/>
    </row>
    <row r="125" spans="1:21" ht="13.2">
      <c r="A125" s="117" t="s">
        <v>992</v>
      </c>
      <c r="B125" s="333"/>
      <c r="C125" s="117"/>
      <c r="D125" s="1830"/>
      <c r="E125" s="1830"/>
      <c r="F125" s="1830"/>
      <c r="G125" s="1830"/>
      <c r="H125" s="1830"/>
      <c r="I125" s="1830"/>
      <c r="J125" s="1830"/>
      <c r="K125" s="1830"/>
      <c r="L125" s="1830"/>
      <c r="M125" s="1830"/>
      <c r="N125" s="1830"/>
      <c r="O125" s="1830"/>
      <c r="P125" s="1830"/>
      <c r="Q125" s="1830"/>
      <c r="R125" s="1830"/>
      <c r="S125" s="1830"/>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88"/>
      <c r="E128" s="1888"/>
      <c r="F128" s="1888"/>
      <c r="G128" s="1888"/>
      <c r="H128" s="1888"/>
      <c r="I128" s="117"/>
      <c r="J128" s="1889"/>
      <c r="K128" s="1889"/>
      <c r="L128" s="117"/>
      <c r="M128" s="117"/>
      <c r="N128" s="117"/>
      <c r="O128" s="117"/>
      <c r="P128" s="117"/>
      <c r="Q128" s="117"/>
      <c r="R128" s="117"/>
      <c r="S128" s="117"/>
      <c r="T128" s="324"/>
      <c r="U128" s="326"/>
    </row>
    <row r="129" spans="1:21" ht="13.2">
      <c r="A129" s="117" t="s">
        <v>300</v>
      </c>
      <c r="B129" s="333"/>
      <c r="C129" s="117"/>
      <c r="D129" s="1890" t="s">
        <v>996</v>
      </c>
      <c r="E129" s="1890"/>
      <c r="F129" s="1890"/>
      <c r="G129" s="1890"/>
      <c r="H129" s="1890"/>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782"/>
      <c r="E131" s="1782"/>
      <c r="F131" s="1782"/>
      <c r="G131" s="1782"/>
      <c r="H131" s="1782"/>
      <c r="I131" s="117"/>
      <c r="J131" s="1782"/>
      <c r="K131" s="1782"/>
      <c r="L131" s="1782"/>
      <c r="M131" s="1782"/>
      <c r="N131" s="117"/>
      <c r="O131" s="117"/>
      <c r="P131" s="117"/>
      <c r="Q131" s="117"/>
      <c r="R131" s="117"/>
      <c r="S131" s="117"/>
      <c r="T131" s="324"/>
      <c r="U131" s="326"/>
    </row>
    <row r="132" spans="1:21" ht="12" customHeight="1">
      <c r="A132" s="336"/>
      <c r="B132" s="117"/>
      <c r="C132" s="117"/>
      <c r="D132" s="1894" t="s">
        <v>999</v>
      </c>
      <c r="E132" s="1894"/>
      <c r="F132" s="1894"/>
      <c r="G132" s="1894"/>
      <c r="H132" s="1894"/>
      <c r="I132" s="117"/>
      <c r="J132" s="1894" t="s">
        <v>1000</v>
      </c>
      <c r="K132" s="1894"/>
      <c r="L132" s="1894"/>
      <c r="M132" s="189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5"/>
      <c r="B138" s="1888"/>
      <c r="C138" s="1888"/>
      <c r="D138" s="328"/>
      <c r="E138" s="1889"/>
      <c r="F138" s="1889"/>
      <c r="G138" s="117"/>
      <c r="H138" s="117"/>
      <c r="I138" s="117"/>
      <c r="J138" s="117"/>
      <c r="K138" s="117"/>
      <c r="L138" s="117"/>
      <c r="M138" s="117"/>
      <c r="N138" s="117"/>
      <c r="O138" s="117"/>
      <c r="P138" s="117"/>
      <c r="Q138" s="117"/>
      <c r="R138" s="117"/>
      <c r="S138" s="117"/>
      <c r="T138" s="330"/>
      <c r="U138" s="331"/>
    </row>
    <row r="139" spans="1:21" ht="13.2">
      <c r="A139" s="1892" t="s">
        <v>1003</v>
      </c>
      <c r="B139" s="1892"/>
      <c r="C139" s="1892"/>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98" t="s">
        <v>1226</v>
      </c>
      <c r="B1" s="1899"/>
      <c r="C1" s="1899"/>
      <c r="D1" s="1899"/>
      <c r="E1" s="1899"/>
      <c r="F1" s="1899"/>
      <c r="G1" s="1899"/>
      <c r="H1" s="1899"/>
      <c r="I1" s="1899"/>
      <c r="J1" s="1900"/>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2600000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43049</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593</v>
      </c>
      <c r="B8" s="361">
        <f>'Sources and Uses Budget'!C8</f>
        <v>2643049</v>
      </c>
      <c r="C8" s="361">
        <f>SUM(C4:C7)</f>
        <v>0</v>
      </c>
      <c r="D8" s="361">
        <f>SUM(D4:D7)</f>
        <v>0</v>
      </c>
      <c r="E8" s="363"/>
      <c r="F8" s="363"/>
      <c r="G8" s="363"/>
      <c r="H8" s="363"/>
      <c r="I8" s="363"/>
      <c r="J8" s="363"/>
      <c r="K8" s="359"/>
    </row>
    <row r="9" spans="1:11" s="360" customFormat="1" ht="11.4">
      <c r="A9" s="364" t="s">
        <v>594</v>
      </c>
      <c r="B9" s="361">
        <f>'Sources and Uses Budget'!C9</f>
        <v>0</v>
      </c>
      <c r="C9" s="362"/>
      <c r="D9" s="362"/>
      <c r="E9" s="363"/>
      <c r="F9" s="363"/>
      <c r="G9" s="363"/>
      <c r="H9" s="361">
        <f>'Sources and Uses Budget'!T9</f>
        <v>0</v>
      </c>
      <c r="I9" s="362"/>
      <c r="J9" s="362"/>
      <c r="K9" s="359"/>
    </row>
    <row r="10" spans="1:11" s="360" customFormat="1" ht="11.4">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2643049</v>
      </c>
      <c r="C12" s="361">
        <f>SUM(C8+C11)</f>
        <v>0</v>
      </c>
      <c r="D12" s="361">
        <f>SUM(D8+D11)</f>
        <v>0</v>
      </c>
      <c r="E12" s="363"/>
      <c r="F12" s="363"/>
      <c r="G12" s="363"/>
      <c r="H12" s="363"/>
      <c r="I12" s="363"/>
      <c r="J12" s="363"/>
      <c r="K12" s="359"/>
    </row>
    <row r="13" spans="1:11" s="360" customFormat="1" ht="11.4">
      <c r="A13" s="366" t="s">
        <v>902</v>
      </c>
      <c r="B13" s="361">
        <f>'Sources and Uses Budget'!C13</f>
        <v>1736616</v>
      </c>
      <c r="C13" s="362"/>
      <c r="D13" s="362"/>
      <c r="E13" s="361">
        <f>'Sources and Uses Budget'!S13</f>
        <v>0</v>
      </c>
      <c r="F13" s="362"/>
      <c r="G13" s="362"/>
      <c r="H13" s="361">
        <f>'Sources and Uses Budget'!T13</f>
        <v>0</v>
      </c>
      <c r="I13" s="362"/>
      <c r="J13" s="362"/>
      <c r="K13" s="359"/>
    </row>
    <row r="14" spans="1:11" s="360" customFormat="1" ht="22.8">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597</v>
      </c>
      <c r="B16" s="358"/>
      <c r="C16" s="358"/>
      <c r="D16" s="358"/>
      <c r="E16" s="358"/>
      <c r="F16" s="358"/>
      <c r="G16" s="358"/>
      <c r="H16" s="358"/>
      <c r="I16" s="358"/>
      <c r="J16" s="358"/>
      <c r="K16" s="359"/>
    </row>
    <row r="17" spans="1:11" s="360" customFormat="1" ht="11.4">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598</v>
      </c>
      <c r="B29" s="361">
        <f>'Sources and Uses Budget'!C29</f>
        <v>2000000</v>
      </c>
      <c r="C29" s="362"/>
      <c r="D29" s="362"/>
      <c r="E29" s="361">
        <f>'Sources and Uses Budget'!S29</f>
        <v>2000000</v>
      </c>
      <c r="F29" s="362"/>
      <c r="G29" s="362"/>
      <c r="H29" s="361">
        <f>'Sources and Uses Budget'!T29</f>
        <v>0</v>
      </c>
      <c r="I29" s="362"/>
      <c r="J29" s="362"/>
      <c r="K29" s="359"/>
    </row>
    <row r="30" spans="1:11" s="360" customFormat="1" ht="11.4">
      <c r="A30" s="145" t="s">
        <v>599</v>
      </c>
      <c r="B30" s="361">
        <f>'Sources and Uses Budget'!C30</f>
        <v>31372780</v>
      </c>
      <c r="C30" s="362"/>
      <c r="D30" s="362"/>
      <c r="E30" s="361">
        <f>'Sources and Uses Budget'!S30</f>
        <v>31372780</v>
      </c>
      <c r="F30" s="362"/>
      <c r="G30" s="362"/>
      <c r="H30" s="361">
        <f>'Sources and Uses Budget'!T30</f>
        <v>0</v>
      </c>
      <c r="I30" s="362"/>
      <c r="J30" s="362"/>
      <c r="K30" s="359"/>
    </row>
    <row r="31" spans="1:11" s="360" customFormat="1" ht="11.4">
      <c r="A31" s="145" t="s">
        <v>600</v>
      </c>
      <c r="B31" s="361">
        <f>'Sources and Uses Budget'!C31</f>
        <v>1939130</v>
      </c>
      <c r="C31" s="362"/>
      <c r="D31" s="362"/>
      <c r="E31" s="361">
        <f>'Sources and Uses Budget'!S31</f>
        <v>1939130</v>
      </c>
      <c r="F31" s="362"/>
      <c r="G31" s="362"/>
      <c r="H31" s="361">
        <f>'Sources and Uses Budget'!T31</f>
        <v>0</v>
      </c>
      <c r="I31" s="362"/>
      <c r="J31" s="362"/>
      <c r="K31" s="359"/>
    </row>
    <row r="32" spans="1:11" s="360" customFormat="1" ht="11.4">
      <c r="A32" s="145" t="s">
        <v>137</v>
      </c>
      <c r="B32" s="361">
        <f>'Sources and Uses Budget'!C32</f>
        <v>682807</v>
      </c>
      <c r="C32" s="362"/>
      <c r="D32" s="362"/>
      <c r="E32" s="361">
        <f>'Sources and Uses Budget'!S32</f>
        <v>682807</v>
      </c>
      <c r="F32" s="362"/>
      <c r="G32" s="362"/>
      <c r="H32" s="361">
        <f>'Sources and Uses Budget'!T32</f>
        <v>0</v>
      </c>
      <c r="I32" s="362"/>
      <c r="J32" s="362"/>
      <c r="K32" s="359"/>
    </row>
    <row r="33" spans="1:11" s="360" customFormat="1" ht="11.4">
      <c r="A33" s="145" t="s">
        <v>138</v>
      </c>
      <c r="B33" s="361">
        <f>'Sources and Uses Budget'!C33</f>
        <v>2055283</v>
      </c>
      <c r="C33" s="362"/>
      <c r="D33" s="362"/>
      <c r="E33" s="361">
        <f>'Sources and Uses Budget'!S33</f>
        <v>2055283</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950000</v>
      </c>
      <c r="C35" s="362"/>
      <c r="D35" s="362"/>
      <c r="E35" s="361">
        <f>'Sources and Uses Budget'!S35</f>
        <v>950000</v>
      </c>
      <c r="F35" s="362"/>
      <c r="G35" s="362"/>
      <c r="H35" s="361">
        <f>'Sources and Uses Budget'!T35</f>
        <v>0</v>
      </c>
      <c r="I35" s="362"/>
      <c r="J35" s="362"/>
      <c r="K35" s="359"/>
    </row>
    <row r="36" spans="1:11" s="360" customFormat="1" ht="11.4">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39000000</v>
      </c>
      <c r="C38" s="361">
        <f>SUM(C29:C37)</f>
        <v>0</v>
      </c>
      <c r="D38" s="361">
        <f>SUM(D29:D37)</f>
        <v>0</v>
      </c>
      <c r="E38" s="361">
        <f>'Sources and Uses Budget'!S38</f>
        <v>39000000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925585</v>
      </c>
      <c r="C40" s="362"/>
      <c r="D40" s="362"/>
      <c r="E40" s="361">
        <f>'Sources and Uses Budget'!S40</f>
        <v>925585</v>
      </c>
      <c r="F40" s="362"/>
      <c r="G40" s="362"/>
      <c r="H40" s="361">
        <f>'Sources and Uses Budget'!T40</f>
        <v>0</v>
      </c>
      <c r="I40" s="362"/>
      <c r="J40" s="362"/>
      <c r="K40" s="359"/>
    </row>
    <row r="41" spans="1:11" s="360" customFormat="1" ht="11.4">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925585</v>
      </c>
      <c r="C42" s="361">
        <f>SUM(C39:C41)</f>
        <v>0</v>
      </c>
      <c r="D42" s="361">
        <f>SUM(D39:D41)</f>
        <v>0</v>
      </c>
      <c r="E42" s="361">
        <f>'Sources and Uses Budget'!S42</f>
        <v>925585</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1069067</v>
      </c>
      <c r="C43" s="362"/>
      <c r="D43" s="362"/>
      <c r="E43" s="361">
        <f>'Sources and Uses Budget'!S43</f>
        <v>1069067</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1750000</v>
      </c>
      <c r="C45" s="362"/>
      <c r="D45" s="362"/>
      <c r="E45" s="361">
        <f>'Sources and Uses Budget'!S45</f>
        <v>1750000</v>
      </c>
      <c r="F45" s="362"/>
      <c r="G45" s="362"/>
      <c r="H45" s="361">
        <f>'Sources and Uses Budget'!T45</f>
        <v>0</v>
      </c>
      <c r="I45" s="362"/>
      <c r="J45" s="362"/>
      <c r="K45" s="359"/>
    </row>
    <row r="46" spans="1:11" s="360" customFormat="1" ht="11.4">
      <c r="A46" s="364" t="s">
        <v>151</v>
      </c>
      <c r="B46" s="361">
        <f>'Sources and Uses Budget'!C46</f>
        <v>522490</v>
      </c>
      <c r="C46" s="362"/>
      <c r="D46" s="362"/>
      <c r="E46" s="361">
        <f>'Sources and Uses Budget'!S46</f>
        <v>522490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500000</v>
      </c>
      <c r="C49" s="362"/>
      <c r="D49" s="362"/>
      <c r="E49" s="361">
        <f>'Sources and Uses Budget'!S49</f>
        <v>50000</v>
      </c>
      <c r="F49" s="362"/>
      <c r="G49" s="362"/>
      <c r="H49" s="361">
        <f>'Sources and Uses Budget'!T49</f>
        <v>0</v>
      </c>
      <c r="I49" s="362"/>
      <c r="J49" s="362"/>
      <c r="K49" s="359"/>
    </row>
    <row r="50" spans="1:11" s="360" customFormat="1" ht="11.4">
      <c r="A50" s="364" t="s">
        <v>156</v>
      </c>
      <c r="B50" s="361">
        <f>'Sources and Uses Budget'!C50</f>
        <v>85000</v>
      </c>
      <c r="C50" s="362"/>
      <c r="D50" s="362"/>
      <c r="E50" s="361">
        <f>'Sources and Uses Budget'!S50</f>
        <v>85000</v>
      </c>
      <c r="F50" s="362"/>
      <c r="G50" s="362"/>
      <c r="H50" s="361">
        <f>'Sources and Uses Budget'!T50</f>
        <v>0</v>
      </c>
      <c r="I50" s="362"/>
      <c r="J50" s="362"/>
      <c r="K50" s="359"/>
    </row>
    <row r="51" spans="1:11" s="360" customFormat="1" ht="11.4">
      <c r="A51" s="364" t="s">
        <v>154</v>
      </c>
      <c r="B51" s="361">
        <f>'Sources and Uses Budget'!C51</f>
        <v>95334</v>
      </c>
      <c r="C51" s="362"/>
      <c r="D51" s="362"/>
      <c r="E51" s="361">
        <f>'Sources and Uses Budget'!S51</f>
        <v>95334</v>
      </c>
      <c r="F51" s="362"/>
      <c r="G51" s="362"/>
      <c r="H51" s="361">
        <f>'Sources and Uses Budget'!T51</f>
        <v>0</v>
      </c>
      <c r="I51" s="362"/>
      <c r="J51" s="362"/>
      <c r="K51" s="359"/>
    </row>
    <row r="52" spans="1:11" s="360" customFormat="1" ht="11.4">
      <c r="A52" s="364" t="s">
        <v>155</v>
      </c>
      <c r="B52" s="361">
        <f>'Sources and Uses Budget'!C52</f>
        <v>650000</v>
      </c>
      <c r="C52" s="362"/>
      <c r="D52" s="362"/>
      <c r="E52" s="361">
        <f>'Sources and Uses Budget'!S52</f>
        <v>650000</v>
      </c>
      <c r="F52" s="362"/>
      <c r="G52" s="362"/>
      <c r="H52" s="361">
        <f>'Sources and Uses Budget'!T52</f>
        <v>0</v>
      </c>
      <c r="I52" s="362"/>
      <c r="J52" s="362"/>
      <c r="K52" s="359"/>
    </row>
    <row r="53" spans="1:11" s="360" customFormat="1" ht="22.8">
      <c r="A53" s="364" t="str">
        <f>'Sources and Uses Budget'!$A53</f>
        <v>Other: Construction Managemenr, Lender Inspections</v>
      </c>
      <c r="B53" s="361">
        <f>'Sources and Uses Budget'!C53</f>
        <v>271639</v>
      </c>
      <c r="C53" s="362"/>
      <c r="D53" s="362"/>
      <c r="E53" s="361">
        <f>'Sources and Uses Budget'!S53</f>
        <v>271639</v>
      </c>
      <c r="F53" s="362"/>
      <c r="G53" s="362"/>
      <c r="H53" s="361">
        <f>'Sources and Uses Budget'!T53</f>
        <v>0</v>
      </c>
      <c r="I53" s="362"/>
      <c r="J53" s="362"/>
      <c r="K53" s="359"/>
    </row>
    <row r="54" spans="1:11" s="369" customFormat="1">
      <c r="A54" s="365" t="s">
        <v>157</v>
      </c>
      <c r="B54" s="361">
        <f>'Sources and Uses Budget'!C54</f>
        <v>3874463</v>
      </c>
      <c r="C54" s="367">
        <f>SUM(C45:C53)</f>
        <v>0</v>
      </c>
      <c r="D54" s="367">
        <f>SUM(D45:D53)</f>
        <v>0</v>
      </c>
      <c r="E54" s="361">
        <f>'Sources and Uses Budget'!S54</f>
        <v>3424463</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95926</v>
      </c>
      <c r="C56" s="362"/>
      <c r="D56" s="362"/>
      <c r="E56" s="363"/>
      <c r="F56" s="363"/>
      <c r="G56" s="363"/>
      <c r="H56" s="363"/>
      <c r="I56" s="363"/>
      <c r="J56" s="363"/>
      <c r="K56" s="359"/>
    </row>
    <row r="57" spans="1:11" s="360" customFormat="1" ht="12" customHeight="1">
      <c r="A57" s="364" t="s">
        <v>152</v>
      </c>
      <c r="B57" s="361">
        <f>'Sources and Uses Budget'!C57</f>
        <v>50000</v>
      </c>
      <c r="C57" s="362"/>
      <c r="D57" s="362"/>
      <c r="E57" s="363"/>
      <c r="F57" s="363"/>
      <c r="G57" s="363"/>
      <c r="H57" s="363"/>
      <c r="I57" s="363"/>
      <c r="J57" s="363"/>
      <c r="K57" s="359"/>
    </row>
    <row r="58" spans="1:11" s="360" customFormat="1" ht="11.4">
      <c r="A58" s="364" t="s">
        <v>156</v>
      </c>
      <c r="B58" s="361">
        <f>'Sources and Uses Budget'!C58</f>
        <v>150000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22.8">
      <c r="A61" s="364" t="str">
        <f>'Sources and Uses Budget'!$A61</f>
        <v>Other: Interest Prior to Conversion (T.E. &amp; Taxable)</v>
      </c>
      <c r="B61" s="361">
        <f>'Sources and Uses Budget'!C61</f>
        <v>1500000</v>
      </c>
      <c r="C61" s="362"/>
      <c r="D61" s="362"/>
      <c r="E61" s="363"/>
      <c r="F61" s="363"/>
      <c r="G61" s="363"/>
      <c r="H61" s="363"/>
      <c r="I61" s="363"/>
      <c r="J61" s="363"/>
      <c r="K61" s="359"/>
    </row>
    <row r="62" spans="1:11" s="360" customFormat="1" ht="13.65" customHeight="1">
      <c r="A62" s="365" t="s">
        <v>301</v>
      </c>
      <c r="B62" s="361">
        <f>'Sources and Uses Budget'!C62</f>
        <v>1795926</v>
      </c>
      <c r="C62" s="361">
        <f>SUM(C56:C61)</f>
        <v>0</v>
      </c>
      <c r="D62" s="361">
        <f>SUM(D56:D61)</f>
        <v>0</v>
      </c>
      <c r="E62" s="363"/>
      <c r="F62" s="363"/>
      <c r="G62" s="363"/>
      <c r="H62" s="363"/>
      <c r="I62" s="363"/>
      <c r="J62" s="363"/>
      <c r="K62" s="359"/>
    </row>
    <row r="63" spans="1:11" s="360" customFormat="1" ht="11.4">
      <c r="A63" s="370" t="s">
        <v>302</v>
      </c>
      <c r="B63" s="361">
        <f>'Sources and Uses Budget'!C63</f>
        <v>51044706</v>
      </c>
      <c r="C63" s="361">
        <f>SUM(C8+C11+C13+C14+C15+C26+C27+C38+C42+C43+C54+C62)</f>
        <v>0</v>
      </c>
      <c r="D63" s="361">
        <f>SUM(D8+D11+D13+D14+D15+D26+D27+D38+D42+D43+D54+D62)</f>
        <v>0</v>
      </c>
      <c r="E63" s="361">
        <f>'Sources and Uses Budget'!S63</f>
        <v>44419115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171</v>
      </c>
      <c r="B65" s="361">
        <f>'Sources and Uses Budget'!C65</f>
        <v>100000</v>
      </c>
      <c r="C65" s="362"/>
      <c r="D65" s="362"/>
      <c r="E65" s="361">
        <f>'Sources and Uses Budget'!S65</f>
        <v>40000</v>
      </c>
      <c r="F65" s="362"/>
      <c r="G65" s="362"/>
      <c r="H65" s="361">
        <f>'Sources and Uses Budget'!T65</f>
        <v>0</v>
      </c>
      <c r="I65" s="362"/>
      <c r="J65" s="362"/>
      <c r="K65" s="359"/>
    </row>
    <row r="66" spans="1:11" s="360" customFormat="1" ht="22.8">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Partnership &amp; Transaction</v>
      </c>
      <c r="B69" s="361">
        <f>'Sources and Uses Budget'!C69</f>
        <v>395000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495000</v>
      </c>
      <c r="C70" s="361">
        <f>SUM(C64:C69)</f>
        <v>0</v>
      </c>
      <c r="D70" s="361">
        <f>SUM(D64:D69)</f>
        <v>0</v>
      </c>
      <c r="E70" s="361">
        <f>'Sources and Uses Budget'!S70</f>
        <v>40000</v>
      </c>
      <c r="F70" s="367">
        <f>SUM(F65:F69)</f>
        <v>0</v>
      </c>
      <c r="G70" s="367">
        <f>SUM(G65:G69)</f>
        <v>0</v>
      </c>
      <c r="H70" s="361">
        <f>'Sources and Uses Budget'!T70</f>
        <v>0</v>
      </c>
      <c r="I70" s="367">
        <f>SUM(I65:I69)</f>
        <v>0</v>
      </c>
      <c r="J70" s="367">
        <f>SUM(J65:J69)</f>
        <v>0</v>
      </c>
      <c r="K70" s="359"/>
    </row>
    <row r="71" spans="1:11" s="360" customFormat="1" ht="11.4">
      <c r="A71" s="357" t="s">
        <v>602</v>
      </c>
      <c r="B71" s="358"/>
      <c r="C71" s="358"/>
      <c r="D71" s="358"/>
      <c r="E71" s="358"/>
      <c r="F71" s="358"/>
      <c r="G71" s="358"/>
      <c r="H71" s="358"/>
      <c r="I71" s="358"/>
      <c r="J71" s="358"/>
      <c r="K71" s="359"/>
    </row>
    <row r="72" spans="1:11" s="360" customFormat="1" ht="11.4">
      <c r="A72" s="364" t="s">
        <v>603</v>
      </c>
      <c r="B72" s="361">
        <f>'Sources and Uses Budget'!C72</f>
        <v>0</v>
      </c>
      <c r="C72" s="362"/>
      <c r="D72" s="362"/>
      <c r="E72" s="363"/>
      <c r="F72" s="363"/>
      <c r="G72" s="363"/>
      <c r="H72" s="363"/>
      <c r="I72" s="363"/>
      <c r="J72" s="363"/>
      <c r="K72" s="359"/>
    </row>
    <row r="73" spans="1:11" s="360" customFormat="1" ht="11.4">
      <c r="A73" s="364" t="s">
        <v>604</v>
      </c>
      <c r="B73" s="361">
        <f>'Sources and Uses Budget'!C73</f>
        <v>0</v>
      </c>
      <c r="C73" s="362"/>
      <c r="D73" s="362"/>
      <c r="E73" s="363"/>
      <c r="F73" s="363"/>
      <c r="G73" s="363"/>
      <c r="H73" s="363"/>
      <c r="I73" s="363"/>
      <c r="J73" s="363"/>
      <c r="K73" s="359"/>
    </row>
    <row r="74" spans="1:11" s="360" customFormat="1" ht="11.4">
      <c r="A74" s="366" t="s">
        <v>985</v>
      </c>
      <c r="B74" s="361">
        <f>'Sources and Uses Budget'!C74</f>
        <v>0</v>
      </c>
      <c r="C74" s="362"/>
      <c r="D74" s="362"/>
      <c r="E74" s="363"/>
      <c r="F74" s="363"/>
      <c r="G74" s="363"/>
      <c r="H74" s="363"/>
      <c r="I74" s="363"/>
      <c r="J74" s="363"/>
      <c r="K74" s="359"/>
    </row>
    <row r="75" spans="1:11" s="360" customFormat="1" ht="11.4">
      <c r="A75" s="364" t="s">
        <v>605</v>
      </c>
      <c r="B75" s="361">
        <f>'Sources and Uses Budget'!C75</f>
        <v>479864</v>
      </c>
      <c r="C75" s="362"/>
      <c r="D75" s="362"/>
      <c r="E75" s="363"/>
      <c r="F75" s="363"/>
      <c r="G75" s="363"/>
      <c r="H75" s="363"/>
      <c r="I75" s="363"/>
      <c r="J75" s="363"/>
      <c r="K75" s="359"/>
    </row>
    <row r="76" spans="1:11" s="360" customFormat="1" ht="22.8">
      <c r="A76" s="364" t="str">
        <f>'Sources and Uses Budget'!$A76</f>
        <v>County - NPLH Transition Reserve &amp; Covenant Fee</v>
      </c>
      <c r="B76" s="361">
        <f>'Sources and Uses Budget'!C76</f>
        <v>532472</v>
      </c>
      <c r="C76" s="362"/>
      <c r="D76" s="362"/>
      <c r="E76" s="363"/>
      <c r="F76" s="363"/>
      <c r="G76" s="363"/>
      <c r="H76" s="363"/>
      <c r="I76" s="363"/>
      <c r="J76" s="363"/>
      <c r="K76" s="359"/>
    </row>
    <row r="77" spans="1:11" s="360" customFormat="1">
      <c r="A77" s="365" t="s">
        <v>606</v>
      </c>
      <c r="B77" s="361">
        <f>'Sources and Uses Budget'!C77</f>
        <v>1012336</v>
      </c>
      <c r="C77" s="361">
        <f>SUM(C72:C76)</f>
        <v>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3900000</v>
      </c>
      <c r="C79" s="362"/>
      <c r="D79" s="362"/>
      <c r="E79" s="361">
        <f>'Sources and Uses Budget'!S79</f>
        <v>3900000</v>
      </c>
      <c r="F79" s="362"/>
      <c r="G79" s="362"/>
      <c r="H79" s="361">
        <f>'Sources and Uses Budget'!T79</f>
        <v>0</v>
      </c>
      <c r="I79" s="362"/>
      <c r="J79" s="362"/>
      <c r="K79" s="359"/>
    </row>
    <row r="80" spans="1:11" s="360" customFormat="1" ht="11.4">
      <c r="A80" s="364" t="s">
        <v>58</v>
      </c>
      <c r="B80" s="361">
        <f>'Sources and Uses Budget'!C80</f>
        <v>445124</v>
      </c>
      <c r="C80" s="362"/>
      <c r="D80" s="362"/>
      <c r="E80" s="361">
        <f>'Sources and Uses Budget'!S80</f>
        <v>445124</v>
      </c>
      <c r="F80" s="362"/>
      <c r="G80" s="362"/>
      <c r="H80" s="361">
        <f>'Sources and Uses Budget'!T80</f>
        <v>0</v>
      </c>
      <c r="I80" s="362"/>
      <c r="J80" s="362"/>
      <c r="K80" s="359"/>
    </row>
    <row r="81" spans="1:11" s="360" customFormat="1">
      <c r="A81" s="365" t="s">
        <v>1208</v>
      </c>
      <c r="B81" s="361">
        <f>'Sources and Uses Budget'!C81</f>
        <v>4345124</v>
      </c>
      <c r="C81" s="361">
        <f>SUM(C79:C80)</f>
        <v>0</v>
      </c>
      <c r="D81" s="361">
        <f>SUM(D79:D80)</f>
        <v>0</v>
      </c>
      <c r="E81" s="361">
        <f>'Sources and Uses Budget'!S81</f>
        <v>4345124</v>
      </c>
      <c r="F81" s="361">
        <f>SUM(F79:F80)</f>
        <v>0</v>
      </c>
      <c r="G81" s="361">
        <f>SUM(G79:G80)</f>
        <v>0</v>
      </c>
      <c r="H81" s="361">
        <f>'Sources and Uses Budget'!T81</f>
        <v>0</v>
      </c>
      <c r="I81" s="361">
        <f>SUM(I79:I80)</f>
        <v>0</v>
      </c>
      <c r="J81" s="361">
        <f>SUM(J79:J80)</f>
        <v>0</v>
      </c>
      <c r="K81" s="359"/>
    </row>
    <row r="82" spans="1:11" s="360" customFormat="1" ht="11.4">
      <c r="A82" s="357" t="s">
        <v>765</v>
      </c>
      <c r="B82" s="358"/>
      <c r="C82" s="358"/>
      <c r="D82" s="358"/>
      <c r="E82" s="358"/>
      <c r="F82" s="358"/>
      <c r="G82" s="358"/>
      <c r="H82" s="358"/>
      <c r="I82" s="358"/>
      <c r="J82" s="358"/>
      <c r="K82" s="359"/>
    </row>
    <row r="83" spans="1:11" s="360" customFormat="1" ht="13.65" customHeight="1">
      <c r="A83" s="145" t="s">
        <v>2048</v>
      </c>
      <c r="B83" s="361">
        <f>'Sources and Uses Budget'!C83</f>
        <v>230062</v>
      </c>
      <c r="C83" s="362"/>
      <c r="D83" s="362"/>
      <c r="E83" s="363"/>
      <c r="F83" s="363"/>
      <c r="G83" s="363"/>
      <c r="H83" s="363"/>
      <c r="I83" s="363"/>
      <c r="J83" s="363"/>
      <c r="K83" s="359"/>
    </row>
    <row r="84" spans="1:11" s="360" customFormat="1" ht="11.4">
      <c r="A84" s="145" t="s">
        <v>767</v>
      </c>
      <c r="B84" s="361">
        <f>'Sources and Uses Budget'!C84</f>
        <v>45000</v>
      </c>
      <c r="C84" s="362"/>
      <c r="D84" s="362"/>
      <c r="E84" s="361">
        <f>'Sources and Uses Budget'!S84</f>
        <v>45000</v>
      </c>
      <c r="F84" s="362"/>
      <c r="G84" s="362"/>
      <c r="H84" s="361">
        <f>'Sources and Uses Budget'!T84</f>
        <v>0</v>
      </c>
      <c r="I84" s="362"/>
      <c r="J84" s="362"/>
      <c r="K84" s="359"/>
    </row>
    <row r="85" spans="1:11" s="360" customFormat="1" ht="11.4">
      <c r="A85" s="145" t="s">
        <v>768</v>
      </c>
      <c r="B85" s="361">
        <f>'Sources and Uses Budget'!C85</f>
        <v>543638</v>
      </c>
      <c r="C85" s="362"/>
      <c r="D85" s="362"/>
      <c r="E85" s="361">
        <f>'Sources and Uses Budget'!S85</f>
        <v>543638</v>
      </c>
      <c r="F85" s="362"/>
      <c r="G85" s="362"/>
      <c r="H85" s="361">
        <f>'Sources and Uses Budget'!T85</f>
        <v>0</v>
      </c>
      <c r="I85" s="362"/>
      <c r="J85" s="362"/>
      <c r="K85" s="359"/>
    </row>
    <row r="86" spans="1:11" s="360" customFormat="1" ht="11.4">
      <c r="A86" s="145" t="s">
        <v>769</v>
      </c>
      <c r="B86" s="361">
        <f>'Sources and Uses Budget'!C86</f>
        <v>1133662</v>
      </c>
      <c r="C86" s="362"/>
      <c r="D86" s="362"/>
      <c r="E86" s="361">
        <f>'Sources and Uses Budget'!S86</f>
        <v>1133662</v>
      </c>
      <c r="F86" s="362"/>
      <c r="G86" s="362"/>
      <c r="H86" s="361">
        <f>'Sources and Uses Budget'!T86</f>
        <v>0</v>
      </c>
      <c r="I86" s="362"/>
      <c r="J86" s="362"/>
      <c r="K86" s="359"/>
    </row>
    <row r="87" spans="1:11" s="360" customFormat="1" ht="11.4">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771</v>
      </c>
      <c r="B88" s="361">
        <f>'Sources and Uses Budget'!C88</f>
        <v>57411</v>
      </c>
      <c r="C88" s="362"/>
      <c r="D88" s="362"/>
      <c r="E88" s="363"/>
      <c r="F88" s="363"/>
      <c r="G88" s="363"/>
      <c r="H88" s="363"/>
      <c r="I88" s="363"/>
      <c r="J88" s="363"/>
      <c r="K88" s="359"/>
    </row>
    <row r="89" spans="1:11" s="360" customFormat="1" ht="11.4">
      <c r="A89" s="145" t="s">
        <v>772</v>
      </c>
      <c r="B89" s="361">
        <f>'Sources and Uses Budget'!C89</f>
        <v>483950</v>
      </c>
      <c r="C89" s="362"/>
      <c r="D89" s="362"/>
      <c r="E89" s="361">
        <f>'Sources and Uses Budget'!S89</f>
        <v>483950</v>
      </c>
      <c r="F89" s="362"/>
      <c r="G89" s="362"/>
      <c r="H89" s="361">
        <f>'Sources and Uses Budget'!T89</f>
        <v>0</v>
      </c>
      <c r="I89" s="362"/>
      <c r="J89" s="362"/>
      <c r="K89" s="359"/>
    </row>
    <row r="90" spans="1:11" s="360" customFormat="1" ht="11.4">
      <c r="A90" s="145" t="s">
        <v>773</v>
      </c>
      <c r="B90" s="361">
        <f>'Sources and Uses Budget'!C90</f>
        <v>25000</v>
      </c>
      <c r="C90" s="362"/>
      <c r="D90" s="362"/>
      <c r="E90" s="361">
        <f>'Sources and Uses Budget'!S90</f>
        <v>25000</v>
      </c>
      <c r="F90" s="362"/>
      <c r="G90" s="362"/>
      <c r="H90" s="361">
        <f>'Sources and Uses Budget'!T90</f>
        <v>0</v>
      </c>
      <c r="I90" s="362"/>
      <c r="J90" s="362"/>
      <c r="K90" s="359"/>
    </row>
    <row r="91" spans="1:11" s="360" customFormat="1" ht="11.4">
      <c r="A91" s="155" t="s">
        <v>372</v>
      </c>
      <c r="B91" s="361">
        <f>'Sources and Uses Budget'!C91</f>
        <v>25000</v>
      </c>
      <c r="C91" s="362"/>
      <c r="D91" s="362"/>
      <c r="E91" s="361">
        <f>'Sources and Uses Budget'!S91</f>
        <v>25000</v>
      </c>
      <c r="F91" s="362"/>
      <c r="G91" s="362"/>
      <c r="H91" s="361">
        <f>'Sources and Uses Budget'!T91</f>
        <v>0</v>
      </c>
      <c r="I91" s="362"/>
      <c r="J91" s="362"/>
      <c r="K91" s="359"/>
    </row>
    <row r="92" spans="1:11" s="360" customFormat="1" ht="11.4">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ht="11.4">
      <c r="A93" s="364" t="str">
        <f>'Sources and Uses Budget'!$A93</f>
        <v>Other: Lease-Up Fees (PSH)</v>
      </c>
      <c r="B93" s="361">
        <f>'Sources and Uses Budget'!C93</f>
        <v>147100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Utility Connection Fee</v>
      </c>
      <c r="B94" s="361">
        <f>'Sources and Uses Budget'!C94</f>
        <v>262247</v>
      </c>
      <c r="C94" s="362"/>
      <c r="D94" s="362"/>
      <c r="E94" s="361">
        <f>'Sources and Uses Budget'!S94</f>
        <v>262247</v>
      </c>
      <c r="F94" s="362"/>
      <c r="G94" s="362"/>
      <c r="H94" s="361">
        <f>'Sources and Uses Budget'!T94</f>
        <v>0</v>
      </c>
      <c r="I94" s="362"/>
      <c r="J94" s="362"/>
      <c r="K94" s="359"/>
    </row>
    <row r="95" spans="1:11" s="360" customFormat="1" ht="11.4">
      <c r="A95" s="364">
        <f>'Sources and Uses Budget'!$A95</f>
        <v>0</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2968070</v>
      </c>
      <c r="C96" s="361">
        <f>SUM(C83:C95)</f>
        <v>0</v>
      </c>
      <c r="D96" s="361">
        <f>SUM(D83:D95)</f>
        <v>0</v>
      </c>
      <c r="E96" s="361">
        <f>'Sources and Uses Budget'!S96</f>
        <v>2533497</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59865236</v>
      </c>
      <c r="C97" s="361">
        <f>SUM(C63+C70+C77+C81+C96)</f>
        <v>0</v>
      </c>
      <c r="D97" s="361">
        <f>SUM(D63+D70+D77+D81+D96)</f>
        <v>0</v>
      </c>
      <c r="E97" s="361">
        <f>'Sources and Uses Budget'!S97</f>
        <v>51337736</v>
      </c>
      <c r="F97" s="367">
        <f>SUM(+F63+F70+F81+F96)</f>
        <v>0</v>
      </c>
      <c r="G97" s="367">
        <f>SUM(+G63+G70+G81+G96)</f>
        <v>0</v>
      </c>
      <c r="H97" s="361">
        <f>'Sources and Uses Budget'!T97</f>
        <v>0</v>
      </c>
      <c r="I97" s="367">
        <f>SUM(I63+I70+I81+I96)</f>
        <v>0</v>
      </c>
      <c r="J97" s="367">
        <f>SUM(J63+J70+J81+J96)</f>
        <v>0</v>
      </c>
      <c r="K97" s="359"/>
    </row>
    <row r="98" spans="1:11" s="360" customFormat="1" ht="11.4">
      <c r="A98" s="357" t="s">
        <v>776</v>
      </c>
      <c r="B98" s="358"/>
      <c r="C98" s="358"/>
      <c r="D98" s="358"/>
      <c r="E98" s="358"/>
      <c r="F98" s="358"/>
      <c r="G98" s="358"/>
      <c r="H98" s="358"/>
      <c r="I98" s="358"/>
      <c r="J98" s="358"/>
      <c r="K98" s="359"/>
    </row>
    <row r="99" spans="1:11" s="360" customFormat="1" ht="11.4">
      <c r="A99" s="145" t="s">
        <v>777</v>
      </c>
      <c r="B99" s="361">
        <f>'Sources and Uses Budget'!C99</f>
        <v>4000000</v>
      </c>
      <c r="C99" s="362"/>
      <c r="D99" s="362"/>
      <c r="E99" s="361">
        <f>'Sources and Uses Budget'!S99</f>
        <v>4000000</v>
      </c>
      <c r="F99" s="362"/>
      <c r="G99" s="362"/>
      <c r="H99" s="361">
        <f>'Sources and Uses Budget'!T99</f>
        <v>0</v>
      </c>
      <c r="I99" s="362"/>
      <c r="J99" s="362"/>
      <c r="K99" s="359"/>
    </row>
    <row r="100" spans="1:11" s="360" customFormat="1" ht="11.4">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4000000</v>
      </c>
      <c r="C104" s="361">
        <f>SUM(C99:C103)</f>
        <v>0</v>
      </c>
      <c r="D104" s="361">
        <f>SUM(D99:D103)</f>
        <v>0</v>
      </c>
      <c r="E104" s="361">
        <f>'Sources and Uses Budget'!S104</f>
        <v>4000000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63865236</v>
      </c>
      <c r="C105" s="367">
        <f>SUM(C97+C104)</f>
        <v>0</v>
      </c>
      <c r="D105" s="367">
        <f>SUM(D97+D104)</f>
        <v>0</v>
      </c>
      <c r="E105" s="361">
        <f>'Sources and Uses Budget'!S105</f>
        <v>55337736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55337736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96"/>
      <c r="E124" s="1323"/>
      <c r="F124" s="1323"/>
      <c r="G124" s="1323"/>
      <c r="H124" s="1323"/>
      <c r="I124" s="1323"/>
      <c r="J124" s="376"/>
      <c r="K124" s="359"/>
    </row>
    <row r="125" spans="1:11" s="360" customFormat="1" ht="13.2">
      <c r="A125" s="385"/>
      <c r="B125" s="384"/>
      <c r="C125" s="385"/>
      <c r="D125" s="1323"/>
      <c r="E125" s="1323"/>
      <c r="F125" s="1323"/>
      <c r="G125" s="1323"/>
      <c r="H125" s="1323"/>
      <c r="I125" s="1323"/>
      <c r="J125" s="376"/>
      <c r="K125" s="359"/>
    </row>
    <row r="126" spans="1:11" s="360" customFormat="1" ht="13.2">
      <c r="A126" s="385"/>
      <c r="B126" s="384"/>
      <c r="C126" s="385"/>
      <c r="D126" s="1323"/>
      <c r="E126" s="1323"/>
      <c r="F126" s="1323"/>
      <c r="G126" s="1323"/>
      <c r="H126" s="1323"/>
      <c r="I126" s="1323"/>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97"/>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1909" t="s">
        <v>2387</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c r="AR1" s="1910"/>
      <c r="AS1" s="1910"/>
      <c r="AT1" s="1910"/>
      <c r="AU1" s="1910"/>
      <c r="AV1" s="1910"/>
      <c r="AW1" s="1910"/>
      <c r="AX1" s="1910"/>
      <c r="AY1" s="1910"/>
      <c r="AZ1" s="1910"/>
      <c r="BA1" s="1910"/>
      <c r="BB1" s="1910"/>
      <c r="BC1" s="1910"/>
      <c r="BD1" s="1910"/>
      <c r="BE1" s="1911"/>
    </row>
    <row r="2" spans="1:65" ht="15.75" customHeight="1">
      <c r="A2" s="1912" t="s">
        <v>2386</v>
      </c>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3"/>
      <c r="BC2" s="1913"/>
      <c r="BD2" s="1913"/>
      <c r="BE2" s="191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15" t="s">
        <v>2587</v>
      </c>
      <c r="AY3" s="1916"/>
      <c r="AZ3" s="1916"/>
      <c r="BA3" s="1917"/>
      <c r="BB3" s="1915" t="s">
        <v>2588</v>
      </c>
      <c r="BC3" s="1916"/>
      <c r="BD3" s="1916"/>
      <c r="BE3" s="1917"/>
    </row>
    <row r="4" spans="1:65" ht="15.75" customHeight="1" thickBot="1">
      <c r="A4" s="1207"/>
      <c r="B4" s="1209" t="s">
        <v>656</v>
      </c>
      <c r="C4" s="1209"/>
      <c r="D4" s="1209"/>
      <c r="E4" s="1209"/>
      <c r="F4" s="1209"/>
      <c r="G4" s="1208"/>
      <c r="H4" s="1208"/>
      <c r="I4" s="1208"/>
      <c r="J4" s="1208"/>
      <c r="K4" s="1208"/>
      <c r="L4" s="1904" t="str">
        <f>IF(Application!H18="","",Application!H18)</f>
        <v>Oak &amp; Ivy</v>
      </c>
      <c r="M4" s="1905"/>
      <c r="N4" s="1905"/>
      <c r="O4" s="1905"/>
      <c r="P4" s="1905"/>
      <c r="Q4" s="1905"/>
      <c r="R4" s="1905"/>
      <c r="S4" s="1905"/>
      <c r="T4" s="1905"/>
      <c r="U4" s="1905"/>
      <c r="V4" s="1905"/>
      <c r="W4" s="1905"/>
      <c r="X4" s="1905"/>
      <c r="Y4" s="1905"/>
      <c r="Z4" s="1905"/>
      <c r="AA4" s="1905"/>
      <c r="AB4" s="1905"/>
      <c r="AC4" s="1906"/>
      <c r="AD4" s="1208"/>
      <c r="AE4" s="1208"/>
      <c r="AF4" s="1918" t="s">
        <v>2385</v>
      </c>
      <c r="AG4" s="1918"/>
      <c r="AH4" s="1918"/>
      <c r="AI4" s="1918"/>
      <c r="AJ4" s="1918"/>
      <c r="AK4" s="1918"/>
      <c r="AL4" s="1918"/>
      <c r="AM4" s="1918"/>
      <c r="AN4" s="1918"/>
      <c r="AO4" s="1918"/>
      <c r="AP4" s="1919"/>
      <c r="AQ4" s="1920"/>
      <c r="AR4" s="1920"/>
      <c r="AS4" s="1920"/>
      <c r="AT4" s="1920"/>
      <c r="AU4" s="1920"/>
      <c r="AV4" s="1208"/>
      <c r="AW4" s="1208"/>
      <c r="AX4" s="1901" t="s">
        <v>2589</v>
      </c>
      <c r="AY4" s="1902"/>
      <c r="AZ4" s="1902"/>
      <c r="BA4" s="1903"/>
      <c r="BB4" s="1210">
        <f t="array" ref="BB4">ROUNDDOWN(SUM(IF((B19:I27&gt;0)*(B19:I27&lt;=30%),J19:O27,0))/J29,2)</f>
        <v>0.49</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18" t="s">
        <v>2384</v>
      </c>
      <c r="AG5" s="1918"/>
      <c r="AH5" s="1918"/>
      <c r="AI5" s="1918"/>
      <c r="AJ5" s="1918"/>
      <c r="AK5" s="1918"/>
      <c r="AL5" s="1918"/>
      <c r="AM5" s="1918"/>
      <c r="AN5" s="1918"/>
      <c r="AO5" s="1918"/>
      <c r="AP5" s="1919"/>
      <c r="AQ5" s="1920"/>
      <c r="AR5" s="1920"/>
      <c r="AS5" s="1920"/>
      <c r="AT5" s="1920"/>
      <c r="AU5" s="1920"/>
      <c r="AV5" s="1208"/>
      <c r="AW5" s="1208"/>
      <c r="AX5" s="1901" t="s">
        <v>2590</v>
      </c>
      <c r="AY5" s="1902"/>
      <c r="AZ5" s="1902"/>
      <c r="BA5" s="1903"/>
      <c r="BB5" s="1210">
        <f t="array" ref="BB5">ROUNDDOWN(SUM(IF((B19:I27&gt;0%)*(B19:I27&lt;=50%),J19:O27,0))/J29,2)</f>
        <v>0.97</v>
      </c>
      <c r="BC5" s="1211"/>
      <c r="BD5" s="1211"/>
      <c r="BE5" s="1212"/>
    </row>
    <row r="6" spans="1:65" ht="15.75" customHeight="1" thickBot="1">
      <c r="A6" s="1207"/>
      <c r="B6" s="1209" t="s">
        <v>2383</v>
      </c>
      <c r="C6" s="1208"/>
      <c r="D6" s="1208"/>
      <c r="E6" s="1208"/>
      <c r="F6" s="1208"/>
      <c r="G6" s="1208"/>
      <c r="H6" s="1208"/>
      <c r="I6" s="1208"/>
      <c r="J6" s="1208"/>
      <c r="K6" s="1208"/>
      <c r="L6" s="1904" t="str">
        <f>IF(Application!H16="","",Application!H16)</f>
        <v>Compass for Affordable Housing</v>
      </c>
      <c r="M6" s="1905"/>
      <c r="N6" s="1905"/>
      <c r="O6" s="1905"/>
      <c r="P6" s="1905"/>
      <c r="Q6" s="1905"/>
      <c r="R6" s="1905"/>
      <c r="S6" s="1905"/>
      <c r="T6" s="1905"/>
      <c r="U6" s="1905"/>
      <c r="V6" s="1905"/>
      <c r="W6" s="1905"/>
      <c r="X6" s="1905"/>
      <c r="Y6" s="1905"/>
      <c r="Z6" s="1905"/>
      <c r="AA6" s="1905"/>
      <c r="AB6" s="1905"/>
      <c r="AC6" s="1906"/>
      <c r="AD6" s="1208"/>
      <c r="AE6" s="1208"/>
      <c r="AF6" s="1907" t="s">
        <v>2382</v>
      </c>
      <c r="AG6" s="1907"/>
      <c r="AH6" s="1907"/>
      <c r="AI6" s="1907"/>
      <c r="AJ6" s="1907"/>
      <c r="AK6" s="1907"/>
      <c r="AL6" s="1907"/>
      <c r="AM6" s="1907"/>
      <c r="AN6" s="1907"/>
      <c r="AO6" s="1907"/>
      <c r="AP6" s="1908"/>
      <c r="AQ6" s="1908"/>
      <c r="AR6" s="1908"/>
      <c r="AS6" s="1908"/>
      <c r="AT6" s="1908"/>
      <c r="AU6" s="1908"/>
      <c r="AV6" s="1208"/>
      <c r="AW6" s="1208"/>
      <c r="AX6" s="1901" t="s">
        <v>2591</v>
      </c>
      <c r="AY6" s="1902"/>
      <c r="AZ6" s="1902"/>
      <c r="BA6" s="1903"/>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907" t="s">
        <v>2381</v>
      </c>
      <c r="AG7" s="1907"/>
      <c r="AH7" s="1907"/>
      <c r="AI7" s="1907"/>
      <c r="AJ7" s="1907"/>
      <c r="AK7" s="1907"/>
      <c r="AL7" s="1907"/>
      <c r="AM7" s="1907"/>
      <c r="AN7" s="1907"/>
      <c r="AO7" s="1907"/>
      <c r="AP7" s="1908"/>
      <c r="AQ7" s="1908"/>
      <c r="AR7" s="1908"/>
      <c r="AS7" s="1908"/>
      <c r="AT7" s="1908"/>
      <c r="AU7" s="1908"/>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21" t="str">
        <f>Application!T197</f>
        <v>No</v>
      </c>
      <c r="AC8" s="1922"/>
      <c r="AD8" s="1923"/>
      <c r="AE8" s="1208"/>
      <c r="AF8" s="1907" t="s">
        <v>2380</v>
      </c>
      <c r="AG8" s="1907"/>
      <c r="AH8" s="1907"/>
      <c r="AI8" s="1907"/>
      <c r="AJ8" s="1907"/>
      <c r="AK8" s="1907"/>
      <c r="AL8" s="1907"/>
      <c r="AM8" s="1907"/>
      <c r="AN8" s="1907"/>
      <c r="AO8" s="1907"/>
      <c r="AP8" s="1908" t="s">
        <v>2052</v>
      </c>
      <c r="AQ8" s="1908"/>
      <c r="AR8" s="1908"/>
      <c r="AS8" s="1908"/>
      <c r="AT8" s="1908"/>
      <c r="AU8" s="1908"/>
      <c r="AV8" s="1208"/>
      <c r="AW8" s="1208"/>
      <c r="AX8" s="1208"/>
      <c r="AY8" s="1208"/>
      <c r="AZ8" s="1208"/>
      <c r="BA8" s="1208"/>
      <c r="BB8" s="1208"/>
      <c r="BC8" s="1208"/>
      <c r="BD8" s="1208"/>
      <c r="BE8" s="1213"/>
      <c r="BM8" s="1204" t="s">
        <v>1955</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18" t="s">
        <v>2379</v>
      </c>
      <c r="AG9" s="1918"/>
      <c r="AH9" s="1918"/>
      <c r="AI9" s="1918"/>
      <c r="AJ9" s="1918"/>
      <c r="AK9" s="1918"/>
      <c r="AL9" s="1918"/>
      <c r="AM9" s="1918"/>
      <c r="AN9" s="1918"/>
      <c r="AO9" s="1918"/>
      <c r="AP9" s="1919"/>
      <c r="AQ9" s="1920"/>
      <c r="AR9" s="1920"/>
      <c r="AS9" s="1920"/>
      <c r="AT9" s="1920"/>
      <c r="AU9" s="1920"/>
      <c r="AV9" s="1208"/>
      <c r="AW9" s="1208"/>
      <c r="AX9" s="1208"/>
      <c r="AY9" s="1208"/>
      <c r="AZ9" s="1208"/>
      <c r="BA9" s="1208"/>
      <c r="BB9" s="1208"/>
      <c r="BC9" s="1208"/>
      <c r="BD9" s="1208"/>
      <c r="BE9" s="1213"/>
      <c r="BM9" s="1204" t="s">
        <v>2378</v>
      </c>
    </row>
    <row r="10" spans="1:65" ht="14.4">
      <c r="A10" s="1207"/>
      <c r="B10" s="1209" t="s">
        <v>2377</v>
      </c>
      <c r="C10" s="1209"/>
      <c r="D10" s="1209"/>
      <c r="E10" s="1209"/>
      <c r="F10" s="1209"/>
      <c r="G10" s="1209"/>
      <c r="H10" s="1209"/>
      <c r="I10" s="1209"/>
      <c r="J10" s="1209"/>
      <c r="K10" s="1209"/>
      <c r="L10" s="1209"/>
      <c r="M10" s="1208"/>
      <c r="N10" s="1936">
        <f>Application!AO635</f>
        <v>9592646</v>
      </c>
      <c r="O10" s="1936"/>
      <c r="P10" s="1936"/>
      <c r="Q10" s="1936"/>
      <c r="R10" s="1936"/>
      <c r="S10" s="1936"/>
      <c r="T10" s="1936"/>
      <c r="U10" s="1208"/>
      <c r="V10" s="1208"/>
      <c r="W10" s="1208"/>
      <c r="X10" s="1214"/>
      <c r="Y10" s="1214"/>
      <c r="Z10" s="1214"/>
      <c r="AA10" s="1214"/>
      <c r="AB10" s="1214"/>
      <c r="AC10" s="1214"/>
      <c r="AD10" s="1214"/>
      <c r="AE10" s="1214"/>
      <c r="AF10" s="1918" t="s">
        <v>2376</v>
      </c>
      <c r="AG10" s="1918"/>
      <c r="AH10" s="1918"/>
      <c r="AI10" s="1918"/>
      <c r="AJ10" s="1918"/>
      <c r="AK10" s="1918"/>
      <c r="AL10" s="1918"/>
      <c r="AM10" s="1918"/>
      <c r="AN10" s="1918"/>
      <c r="AO10" s="1918"/>
      <c r="AP10" s="1919"/>
      <c r="AQ10" s="1920"/>
      <c r="AR10" s="1920"/>
      <c r="AS10" s="1920"/>
      <c r="AT10" s="1920"/>
      <c r="AU10" s="1920"/>
      <c r="AV10" s="1214"/>
      <c r="AW10" s="1214"/>
      <c r="AX10" s="1208"/>
      <c r="AY10" s="1208"/>
      <c r="AZ10" s="1208"/>
      <c r="BA10" s="1208"/>
      <c r="BB10" s="1208"/>
      <c r="BC10" s="1208"/>
      <c r="BD10" s="1208"/>
      <c r="BE10" s="1213"/>
      <c r="BM10" s="1204" t="s">
        <v>2375</v>
      </c>
    </row>
    <row r="11" spans="1:65" ht="14.4">
      <c r="A11" s="1207"/>
      <c r="B11" s="1209" t="s">
        <v>2374</v>
      </c>
      <c r="C11" s="1209"/>
      <c r="D11" s="1209"/>
      <c r="E11" s="1209"/>
      <c r="F11" s="1209"/>
      <c r="G11" s="1209"/>
      <c r="H11" s="1209"/>
      <c r="I11" s="1209"/>
      <c r="J11" s="1209"/>
      <c r="K11" s="1209"/>
      <c r="L11" s="1209"/>
      <c r="M11" s="1208"/>
      <c r="N11" s="1936">
        <f>Application!AA943</f>
        <v>0</v>
      </c>
      <c r="O11" s="1936"/>
      <c r="P11" s="1936"/>
      <c r="Q11" s="1936"/>
      <c r="R11" s="1936"/>
      <c r="S11" s="1936"/>
      <c r="T11" s="1936"/>
      <c r="U11" s="1208"/>
      <c r="V11" s="1208"/>
      <c r="W11" s="1208"/>
      <c r="X11" s="1214"/>
      <c r="Y11" s="1214"/>
      <c r="Z11" s="1214"/>
      <c r="AA11" s="1214"/>
      <c r="AB11" s="1214"/>
      <c r="AC11" s="1214"/>
      <c r="AD11" s="1214"/>
      <c r="AE11" s="1214"/>
      <c r="AF11" s="1918" t="s">
        <v>2373</v>
      </c>
      <c r="AG11" s="1918"/>
      <c r="AH11" s="1918"/>
      <c r="AI11" s="1918"/>
      <c r="AJ11" s="1918"/>
      <c r="AK11" s="1918"/>
      <c r="AL11" s="1918"/>
      <c r="AM11" s="1918"/>
      <c r="AN11" s="1918"/>
      <c r="AO11" s="1918"/>
      <c r="AP11" s="1919"/>
      <c r="AQ11" s="1920"/>
      <c r="AR11" s="1920"/>
      <c r="AS11" s="1920"/>
      <c r="AT11" s="1920"/>
      <c r="AU11" s="1920"/>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1924" t="s">
        <v>2371</v>
      </c>
      <c r="C13" s="1925"/>
      <c r="D13" s="1925"/>
      <c r="E13" s="1925"/>
      <c r="F13" s="1925"/>
      <c r="G13" s="1925"/>
      <c r="H13" s="1925"/>
      <c r="I13" s="1925"/>
      <c r="J13" s="1925"/>
      <c r="K13" s="1925"/>
      <c r="L13" s="1925"/>
      <c r="M13" s="1925"/>
      <c r="N13" s="1925"/>
      <c r="O13" s="1925"/>
      <c r="P13" s="1926"/>
      <c r="Q13" s="1927" t="s">
        <v>669</v>
      </c>
      <c r="R13" s="1928"/>
      <c r="S13" s="1928"/>
      <c r="T13" s="1929"/>
      <c r="U13" s="1214"/>
      <c r="V13" s="1208"/>
      <c r="W13" s="1208"/>
      <c r="X13" s="1208"/>
      <c r="Y13" s="1208"/>
      <c r="Z13" s="1208"/>
      <c r="AA13" s="1930" t="s">
        <v>2370</v>
      </c>
      <c r="AB13" s="1930"/>
      <c r="AC13" s="1930"/>
      <c r="AD13" s="1930"/>
      <c r="AE13" s="1930"/>
      <c r="AF13" s="1930"/>
      <c r="AG13" s="1930"/>
      <c r="AH13" s="1930"/>
      <c r="AI13" s="1930"/>
      <c r="AJ13" s="1930"/>
      <c r="AK13" s="1930"/>
      <c r="AL13" s="1930"/>
      <c r="AM13" s="1930"/>
      <c r="AN13" s="1930"/>
      <c r="AO13" s="1931">
        <f>Application!W481</f>
        <v>24</v>
      </c>
      <c r="AP13" s="1932"/>
      <c r="AQ13" s="1932"/>
      <c r="AR13" s="1932"/>
      <c r="AS13" s="1932"/>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33" t="s">
        <v>2368</v>
      </c>
      <c r="AB14" s="1933"/>
      <c r="AC14" s="1933"/>
      <c r="AD14" s="1933"/>
      <c r="AE14" s="1933"/>
      <c r="AF14" s="1933"/>
      <c r="AG14" s="1933"/>
      <c r="AH14" s="1933"/>
      <c r="AI14" s="1933"/>
      <c r="AJ14" s="1933"/>
      <c r="AK14" s="1933"/>
      <c r="AL14" s="1933"/>
      <c r="AM14" s="1933"/>
      <c r="AN14" s="1933"/>
      <c r="AO14" s="1934"/>
      <c r="AP14" s="1935"/>
      <c r="AQ14" s="1935"/>
      <c r="AR14" s="1935"/>
      <c r="AS14" s="1935"/>
      <c r="AT14" s="1214"/>
      <c r="AU14" s="1214"/>
      <c r="AV14" s="1214"/>
      <c r="AW14" s="1214"/>
      <c r="AX14" s="1214"/>
      <c r="AY14" s="1214"/>
      <c r="AZ14" s="1214"/>
      <c r="BA14" s="1214"/>
      <c r="BB14" s="1214"/>
      <c r="BC14" s="1214"/>
      <c r="BD14" s="1214"/>
      <c r="BE14" s="1215"/>
    </row>
    <row r="15" spans="1:65" ht="15" thickBot="1">
      <c r="A15" s="1208"/>
      <c r="B15" s="1937" t="s">
        <v>2367</v>
      </c>
      <c r="C15" s="1938"/>
      <c r="D15" s="1938"/>
      <c r="E15" s="1938"/>
      <c r="F15" s="1938"/>
      <c r="G15" s="1938"/>
      <c r="H15" s="1938"/>
      <c r="I15" s="1938"/>
      <c r="J15" s="1938"/>
      <c r="K15" s="1938"/>
      <c r="L15" s="1938"/>
      <c r="M15" s="1938"/>
      <c r="N15" s="1938"/>
      <c r="O15" s="1938"/>
      <c r="P15" s="1938"/>
      <c r="Q15" s="1938"/>
      <c r="R15" s="1939"/>
      <c r="S15" s="1940" t="str">
        <f>IF(Application!AB215="","",Application!AB215)</f>
        <v/>
      </c>
      <c r="T15" s="1940"/>
      <c r="U15" s="1940"/>
      <c r="V15" s="1940"/>
      <c r="W15" s="1941"/>
      <c r="X15" s="1214"/>
      <c r="Y15" s="1208"/>
      <c r="Z15" s="1208"/>
      <c r="AA15" s="1930" t="s">
        <v>2366</v>
      </c>
      <c r="AB15" s="1930"/>
      <c r="AC15" s="1930"/>
      <c r="AD15" s="1930"/>
      <c r="AE15" s="1930"/>
      <c r="AF15" s="1930"/>
      <c r="AG15" s="1930"/>
      <c r="AH15" s="1930"/>
      <c r="AI15" s="1930"/>
      <c r="AJ15" s="1930"/>
      <c r="AK15" s="1930"/>
      <c r="AL15" s="1930"/>
      <c r="AM15" s="1930"/>
      <c r="AN15" s="1930"/>
      <c r="AO15" s="1934"/>
      <c r="AP15" s="1935"/>
      <c r="AQ15" s="1935"/>
      <c r="AR15" s="1935"/>
      <c r="AS15" s="1935"/>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42" t="s">
        <v>2365</v>
      </c>
      <c r="C17" s="1943"/>
      <c r="D17" s="1943"/>
      <c r="E17" s="1943"/>
      <c r="F17" s="1943"/>
      <c r="G17" s="1943"/>
      <c r="H17" s="1943"/>
      <c r="I17" s="1943"/>
      <c r="J17" s="1943"/>
      <c r="K17" s="1943"/>
      <c r="L17" s="1943"/>
      <c r="M17" s="1943"/>
      <c r="N17" s="1943"/>
      <c r="O17" s="1943"/>
      <c r="P17" s="1943"/>
      <c r="Q17" s="1943"/>
      <c r="R17" s="1943"/>
      <c r="S17" s="1943"/>
      <c r="T17" s="1943"/>
      <c r="U17" s="1943"/>
      <c r="V17" s="1943"/>
      <c r="W17" s="1943"/>
      <c r="X17" s="1943"/>
      <c r="Y17" s="1943"/>
      <c r="Z17" s="1943"/>
      <c r="AA17" s="1943"/>
      <c r="AB17" s="1943"/>
      <c r="AC17" s="1943"/>
      <c r="AD17" s="1943"/>
      <c r="AE17" s="1943"/>
      <c r="AF17" s="1943"/>
      <c r="AG17" s="1943"/>
      <c r="AH17" s="1943"/>
      <c r="AI17" s="1943"/>
      <c r="AJ17" s="1943"/>
      <c r="AK17" s="1943"/>
      <c r="AL17" s="1943"/>
      <c r="AM17" s="1943"/>
      <c r="AN17" s="1943"/>
      <c r="AO17" s="1943"/>
      <c r="AP17" s="1943"/>
      <c r="AQ17" s="1943"/>
      <c r="AR17" s="1943"/>
      <c r="AS17" s="1943"/>
      <c r="AT17" s="1943"/>
      <c r="AU17" s="1943"/>
      <c r="AV17" s="1943"/>
      <c r="AW17" s="1943"/>
      <c r="AX17" s="1943"/>
      <c r="AY17" s="1944"/>
      <c r="AZ17" s="1208"/>
      <c r="BA17" s="1208"/>
      <c r="BB17" s="1208"/>
      <c r="BC17" s="1208"/>
      <c r="BD17" s="1208"/>
      <c r="BE17" s="1215"/>
      <c r="BF17" s="1206"/>
    </row>
    <row r="18" spans="1:58" ht="15.75" customHeight="1">
      <c r="A18" s="1208"/>
      <c r="B18" s="1945" t="s">
        <v>2364</v>
      </c>
      <c r="C18" s="1946"/>
      <c r="D18" s="1946"/>
      <c r="E18" s="1946"/>
      <c r="F18" s="1946"/>
      <c r="G18" s="1946"/>
      <c r="H18" s="1946"/>
      <c r="I18" s="1947"/>
      <c r="J18" s="1948" t="s">
        <v>1574</v>
      </c>
      <c r="K18" s="1949"/>
      <c r="L18" s="1949"/>
      <c r="M18" s="1949"/>
      <c r="N18" s="1949"/>
      <c r="O18" s="1950"/>
      <c r="P18" s="1948" t="s">
        <v>324</v>
      </c>
      <c r="Q18" s="1949"/>
      <c r="R18" s="1949"/>
      <c r="S18" s="1949"/>
      <c r="T18" s="1949"/>
      <c r="U18" s="1950"/>
      <c r="V18" s="1948" t="s">
        <v>325</v>
      </c>
      <c r="W18" s="1949"/>
      <c r="X18" s="1949"/>
      <c r="Y18" s="1949"/>
      <c r="Z18" s="1949"/>
      <c r="AA18" s="1950"/>
      <c r="AB18" s="1948" t="s">
        <v>163</v>
      </c>
      <c r="AC18" s="1949"/>
      <c r="AD18" s="1949"/>
      <c r="AE18" s="1949"/>
      <c r="AF18" s="1949"/>
      <c r="AG18" s="1950"/>
      <c r="AH18" s="1948" t="s">
        <v>164</v>
      </c>
      <c r="AI18" s="1949"/>
      <c r="AJ18" s="1949"/>
      <c r="AK18" s="1949"/>
      <c r="AL18" s="1949"/>
      <c r="AM18" s="1950"/>
      <c r="AN18" s="1948" t="s">
        <v>165</v>
      </c>
      <c r="AO18" s="1949"/>
      <c r="AP18" s="1949"/>
      <c r="AQ18" s="1949"/>
      <c r="AR18" s="1949"/>
      <c r="AS18" s="1950"/>
      <c r="AT18" s="1948" t="s">
        <v>2363</v>
      </c>
      <c r="AU18" s="1949"/>
      <c r="AV18" s="1949"/>
      <c r="AW18" s="1949"/>
      <c r="AX18" s="1949"/>
      <c r="AY18" s="1951"/>
      <c r="AZ18" s="1208"/>
      <c r="BA18" s="1208"/>
      <c r="BB18" s="1208"/>
      <c r="BC18" s="1208"/>
      <c r="BD18" s="1208"/>
      <c r="BE18" s="1215"/>
    </row>
    <row r="19" spans="1:58" ht="14.4">
      <c r="A19" s="1208"/>
      <c r="B19" s="1952">
        <v>0.3</v>
      </c>
      <c r="C19" s="1953"/>
      <c r="D19" s="1953"/>
      <c r="E19" s="1953"/>
      <c r="F19" s="1953"/>
      <c r="G19" s="1953"/>
      <c r="H19" s="1953"/>
      <c r="I19" s="1954"/>
      <c r="J19" s="1955">
        <f t="shared" ref="J19:J24" si="0">SUM(P19:AS19)</f>
        <v>47</v>
      </c>
      <c r="K19" s="1956"/>
      <c r="L19" s="1956"/>
      <c r="M19" s="1956"/>
      <c r="N19" s="1956"/>
      <c r="O19" s="1957"/>
      <c r="P19" s="1955" cm="1">
        <f t="array" ref="P19">SUMPRODUCT((Application!$B$726:$B$760 = 'CalHFA Addendum'!P$18)*(Application!$AC$726:$AC$760 = 'CalHFA Addendum'!$B19),Application!$G$726:$G$760)</f>
        <v>41</v>
      </c>
      <c r="Q19" s="1956"/>
      <c r="R19" s="1956"/>
      <c r="S19" s="1956"/>
      <c r="T19" s="1956"/>
      <c r="U19" s="1957"/>
      <c r="V19" s="1955" cm="1">
        <f t="array" ref="V19">SUMPRODUCT((Application!$B$726:$B$760 = 'CalHFA Addendum'!V$18)*(Application!$AC$726:$AC$760 = 'CalHFA Addendum'!$B19),Application!$G$726:$G$760)</f>
        <v>5</v>
      </c>
      <c r="W19" s="1956"/>
      <c r="X19" s="1956"/>
      <c r="Y19" s="1956"/>
      <c r="Z19" s="1956"/>
      <c r="AA19" s="1957"/>
      <c r="AB19" s="1955" cm="1">
        <f t="array" ref="AB19">SUMPRODUCT((Application!$B$726:$B$760 = 'CalHFA Addendum'!AB$18)*(Application!$AC$726:$AC$760 = 'CalHFA Addendum'!$B19),Application!$G$726:$G$760)</f>
        <v>1</v>
      </c>
      <c r="AC19" s="1956"/>
      <c r="AD19" s="1956"/>
      <c r="AE19" s="1956"/>
      <c r="AF19" s="1956"/>
      <c r="AG19" s="1957"/>
      <c r="AH19" s="1955" cm="1">
        <f t="array" ref="AH19">SUMPRODUCT((Application!$B$726:$B$760 = 'CalHFA Addendum'!AH$18)*(Application!$AC$726:$AC$760 = 'CalHFA Addendum'!$B19),Application!$G$726:$G$760)</f>
        <v>0</v>
      </c>
      <c r="AI19" s="1956"/>
      <c r="AJ19" s="1956"/>
      <c r="AK19" s="1956"/>
      <c r="AL19" s="1956"/>
      <c r="AM19" s="1957"/>
      <c r="AN19" s="1955" cm="1">
        <f t="array" ref="AN19">SUMPRODUCT((Application!$B$726:$B$760 = 'CalHFA Addendum'!AN$18)*(Application!$AC$726:$AC$760 = 'CalHFA Addendum'!$B19),Application!$G$726:$G$760)</f>
        <v>0</v>
      </c>
      <c r="AO19" s="1956"/>
      <c r="AP19" s="1956"/>
      <c r="AQ19" s="1956"/>
      <c r="AR19" s="1956"/>
      <c r="AS19" s="1957"/>
      <c r="AT19" s="1958">
        <f>J19/$J$29</f>
        <v>0.49473684210526314</v>
      </c>
      <c r="AU19" s="1959"/>
      <c r="AV19" s="1959"/>
      <c r="AW19" s="1959"/>
      <c r="AX19" s="1959"/>
      <c r="AY19" s="1960"/>
      <c r="AZ19" s="1216"/>
      <c r="BA19" s="1208"/>
      <c r="BB19" s="1208"/>
      <c r="BC19" s="1208"/>
      <c r="BD19" s="1208"/>
      <c r="BE19" s="1215"/>
    </row>
    <row r="20" spans="1:58" ht="15" customHeight="1">
      <c r="A20" s="1208"/>
      <c r="B20" s="1952">
        <v>0.4</v>
      </c>
      <c r="C20" s="1953"/>
      <c r="D20" s="1953"/>
      <c r="E20" s="1953"/>
      <c r="F20" s="1953"/>
      <c r="G20" s="1953"/>
      <c r="H20" s="1953"/>
      <c r="I20" s="1954"/>
      <c r="J20" s="1955">
        <f t="shared" si="0"/>
        <v>0</v>
      </c>
      <c r="K20" s="1956"/>
      <c r="L20" s="1956"/>
      <c r="M20" s="1956"/>
      <c r="N20" s="1956"/>
      <c r="O20" s="1957"/>
      <c r="P20" s="1955" cm="1">
        <f t="array" ref="P20">SUMPRODUCT((Application!$B$726:$B$760 = 'CalHFA Addendum'!P$18)*(Application!$AC$726:$AC$760 = 'CalHFA Addendum'!$B20),Application!$G$726:$G$760)</f>
        <v>0</v>
      </c>
      <c r="Q20" s="1956"/>
      <c r="R20" s="1956"/>
      <c r="S20" s="1956"/>
      <c r="T20" s="1956"/>
      <c r="U20" s="1957"/>
      <c r="V20" s="1955" cm="1">
        <f t="array" ref="V20">SUMPRODUCT((Application!$B$726:$B$760 = 'CalHFA Addendum'!V$18)*(Application!$AC$726:$AC$760 = 'CalHFA Addendum'!$B20),Application!$G$726:$G$760)</f>
        <v>0</v>
      </c>
      <c r="W20" s="1956"/>
      <c r="X20" s="1956"/>
      <c r="Y20" s="1956"/>
      <c r="Z20" s="1956"/>
      <c r="AA20" s="1957"/>
      <c r="AB20" s="1955" cm="1">
        <f t="array" ref="AB20">SUMPRODUCT((Application!$B$726:$B$760 = 'CalHFA Addendum'!AB$18)*(Application!$AC$726:$AC$760 = 'CalHFA Addendum'!$B20),Application!$G$726:$G$760)</f>
        <v>0</v>
      </c>
      <c r="AC20" s="1956"/>
      <c r="AD20" s="1956"/>
      <c r="AE20" s="1956"/>
      <c r="AF20" s="1956"/>
      <c r="AG20" s="1957"/>
      <c r="AH20" s="1955" cm="1">
        <f t="array" ref="AH20">SUMPRODUCT((Application!$B$726:$B$760 = 'CalHFA Addendum'!AH$18)*(Application!$AC$726:$AC$760 = 'CalHFA Addendum'!$B20),Application!$G$726:$G$760)</f>
        <v>0</v>
      </c>
      <c r="AI20" s="1956"/>
      <c r="AJ20" s="1956"/>
      <c r="AK20" s="1956"/>
      <c r="AL20" s="1956"/>
      <c r="AM20" s="1957"/>
      <c r="AN20" s="1955" cm="1">
        <f t="array" ref="AN20">SUMPRODUCT((Application!$B$726:$B$760 = 'CalHFA Addendum'!AN$18)*(Application!$AC$726:$AC$760 = 'CalHFA Addendum'!$B20),Application!$G$726:$G$760)</f>
        <v>0</v>
      </c>
      <c r="AO20" s="1956"/>
      <c r="AP20" s="1956"/>
      <c r="AQ20" s="1956"/>
      <c r="AR20" s="1956"/>
      <c r="AS20" s="1957"/>
      <c r="AT20" s="1958">
        <f t="shared" ref="AT20:AT29" si="1">J20/$J$29</f>
        <v>0</v>
      </c>
      <c r="AU20" s="1959"/>
      <c r="AV20" s="1959"/>
      <c r="AW20" s="1959"/>
      <c r="AX20" s="1959"/>
      <c r="AY20" s="1960"/>
      <c r="AZ20" s="1208"/>
      <c r="BA20" s="1208"/>
      <c r="BB20" s="1208"/>
      <c r="BC20" s="1208"/>
      <c r="BD20" s="1208"/>
      <c r="BE20" s="1215"/>
    </row>
    <row r="21" spans="1:58" ht="14.4">
      <c r="A21" s="1208"/>
      <c r="B21" s="1952">
        <v>0.5</v>
      </c>
      <c r="C21" s="1953"/>
      <c r="D21" s="1953"/>
      <c r="E21" s="1953"/>
      <c r="F21" s="1953"/>
      <c r="G21" s="1953"/>
      <c r="H21" s="1953"/>
      <c r="I21" s="1954"/>
      <c r="J21" s="1955">
        <f t="shared" si="0"/>
        <v>46</v>
      </c>
      <c r="K21" s="1956"/>
      <c r="L21" s="1956"/>
      <c r="M21" s="1956"/>
      <c r="N21" s="1956"/>
      <c r="O21" s="1957"/>
      <c r="P21" s="1955" cm="1">
        <f t="array" ref="P21">SUMPRODUCT((Application!$B$726:$B$760 = 'CalHFA Addendum'!P$18)*(Application!$AC$726:$AC$760 = 'CalHFA Addendum'!$B21),Application!$G$726:$G$760)</f>
        <v>0</v>
      </c>
      <c r="Q21" s="1956"/>
      <c r="R21" s="1956"/>
      <c r="S21" s="1956"/>
      <c r="T21" s="1956"/>
      <c r="U21" s="1957"/>
      <c r="V21" s="1955" cm="1">
        <f t="array" ref="V21">SUMPRODUCT((Application!$B$726:$B$760 = 'CalHFA Addendum'!V$18)*(Application!$AC$726:$AC$760 = 'CalHFA Addendum'!$B21),Application!$G$726:$G$760)</f>
        <v>42</v>
      </c>
      <c r="W21" s="1956"/>
      <c r="X21" s="1956"/>
      <c r="Y21" s="1956"/>
      <c r="Z21" s="1956"/>
      <c r="AA21" s="1957"/>
      <c r="AB21" s="1955" cm="1">
        <f t="array" ref="AB21">SUMPRODUCT((Application!$B$726:$B$760 = 'CalHFA Addendum'!AB$18)*(Application!$AC$726:$AC$760 = 'CalHFA Addendum'!$B21),Application!$G$726:$G$760)</f>
        <v>4</v>
      </c>
      <c r="AC21" s="1956"/>
      <c r="AD21" s="1956"/>
      <c r="AE21" s="1956"/>
      <c r="AF21" s="1956"/>
      <c r="AG21" s="1957"/>
      <c r="AH21" s="1955" cm="1">
        <f t="array" ref="AH21">SUMPRODUCT((Application!$B$726:$B$760 = 'CalHFA Addendum'!AH$18)*(Application!$AC$726:$AC$760 = 'CalHFA Addendum'!$B21),Application!$G$726:$G$760)</f>
        <v>0</v>
      </c>
      <c r="AI21" s="1956"/>
      <c r="AJ21" s="1956"/>
      <c r="AK21" s="1956"/>
      <c r="AL21" s="1956"/>
      <c r="AM21" s="1957"/>
      <c r="AN21" s="1955" cm="1">
        <f t="array" ref="AN21">SUMPRODUCT((Application!$B$726:$B$760 = 'CalHFA Addendum'!AN$18)*(Application!$AC$726:$AC$760 = 'CalHFA Addendum'!$B21),Application!$G$726:$G$760)</f>
        <v>0</v>
      </c>
      <c r="AO21" s="1956"/>
      <c r="AP21" s="1956"/>
      <c r="AQ21" s="1956"/>
      <c r="AR21" s="1956"/>
      <c r="AS21" s="1957"/>
      <c r="AT21" s="1958">
        <f t="shared" si="1"/>
        <v>0.48421052631578948</v>
      </c>
      <c r="AU21" s="1959"/>
      <c r="AV21" s="1959"/>
      <c r="AW21" s="1959"/>
      <c r="AX21" s="1959"/>
      <c r="AY21" s="1960"/>
      <c r="AZ21" s="1208"/>
      <c r="BA21" s="1208"/>
      <c r="BB21" s="1208"/>
      <c r="BC21" s="1208"/>
      <c r="BD21" s="1208"/>
      <c r="BE21" s="1215"/>
    </row>
    <row r="22" spans="1:58" ht="14.4">
      <c r="A22" s="1208"/>
      <c r="B22" s="1952">
        <v>0.6</v>
      </c>
      <c r="C22" s="1953"/>
      <c r="D22" s="1953"/>
      <c r="E22" s="1953"/>
      <c r="F22" s="1953"/>
      <c r="G22" s="1953"/>
      <c r="H22" s="1953"/>
      <c r="I22" s="1954"/>
      <c r="J22" s="1955">
        <f t="shared" si="0"/>
        <v>0</v>
      </c>
      <c r="K22" s="1956"/>
      <c r="L22" s="1956"/>
      <c r="M22" s="1956"/>
      <c r="N22" s="1956"/>
      <c r="O22" s="1957"/>
      <c r="P22" s="1955" cm="1">
        <f t="array" ref="P22">SUMPRODUCT((Application!$B$726:$B$760 = 'CalHFA Addendum'!P$18)*(Application!$AC$726:$AC$760 = 'CalHFA Addendum'!$B22),Application!$G$726:$G$760)</f>
        <v>0</v>
      </c>
      <c r="Q22" s="1956"/>
      <c r="R22" s="1956"/>
      <c r="S22" s="1956"/>
      <c r="T22" s="1956"/>
      <c r="U22" s="1957"/>
      <c r="V22" s="1955" cm="1">
        <f t="array" ref="V22">SUMPRODUCT((Application!$B$726:$B$760 = 'CalHFA Addendum'!V$18)*(Application!$AC$726:$AC$760 = 'CalHFA Addendum'!$B22),Application!$G$726:$G$760)</f>
        <v>0</v>
      </c>
      <c r="W22" s="1956"/>
      <c r="X22" s="1956"/>
      <c r="Y22" s="1956"/>
      <c r="Z22" s="1956"/>
      <c r="AA22" s="1957"/>
      <c r="AB22" s="1955" cm="1">
        <f t="array" ref="AB22">SUMPRODUCT((Application!$B$726:$B$760 = 'CalHFA Addendum'!AB$18)*(Application!$AC$726:$AC$760 = 'CalHFA Addendum'!$B22),Application!$G$726:$G$760)</f>
        <v>0</v>
      </c>
      <c r="AC22" s="1956"/>
      <c r="AD22" s="1956"/>
      <c r="AE22" s="1956"/>
      <c r="AF22" s="1956"/>
      <c r="AG22" s="1957"/>
      <c r="AH22" s="1955" cm="1">
        <f t="array" ref="AH22">SUMPRODUCT((Application!$B$726:$B$760 = 'CalHFA Addendum'!AH$18)*(Application!$AC$726:$AC$760 = 'CalHFA Addendum'!$B22),Application!$G$726:$G$760)</f>
        <v>0</v>
      </c>
      <c r="AI22" s="1956"/>
      <c r="AJ22" s="1956"/>
      <c r="AK22" s="1956"/>
      <c r="AL22" s="1956"/>
      <c r="AM22" s="1957"/>
      <c r="AN22" s="1955" cm="1">
        <f t="array" ref="AN22">SUMPRODUCT((Application!$B$726:$B$760 = 'CalHFA Addendum'!AN$18)*(Application!$AC$726:$AC$760 = 'CalHFA Addendum'!$B22),Application!$G$726:$G$760)</f>
        <v>0</v>
      </c>
      <c r="AO22" s="1956"/>
      <c r="AP22" s="1956"/>
      <c r="AQ22" s="1956"/>
      <c r="AR22" s="1956"/>
      <c r="AS22" s="1957"/>
      <c r="AT22" s="1958">
        <f t="shared" si="1"/>
        <v>0</v>
      </c>
      <c r="AU22" s="1959"/>
      <c r="AV22" s="1959"/>
      <c r="AW22" s="1959"/>
      <c r="AX22" s="1959"/>
      <c r="AY22" s="1960"/>
      <c r="AZ22" s="1208"/>
      <c r="BA22" s="1208"/>
      <c r="BB22" s="1208"/>
      <c r="BC22" s="1208"/>
      <c r="BD22" s="1208"/>
      <c r="BE22" s="1215"/>
    </row>
    <row r="23" spans="1:58" ht="14.4">
      <c r="A23" s="1208"/>
      <c r="B23" s="1952">
        <v>0.7</v>
      </c>
      <c r="C23" s="1953"/>
      <c r="D23" s="1953"/>
      <c r="E23" s="1953"/>
      <c r="F23" s="1953"/>
      <c r="G23" s="1953"/>
      <c r="H23" s="1953"/>
      <c r="I23" s="1954"/>
      <c r="J23" s="1955">
        <f t="shared" si="0"/>
        <v>0</v>
      </c>
      <c r="K23" s="1956"/>
      <c r="L23" s="1956"/>
      <c r="M23" s="1956"/>
      <c r="N23" s="1956"/>
      <c r="O23" s="1957"/>
      <c r="P23" s="1955" cm="1">
        <f t="array" ref="P23">SUMPRODUCT((Application!$B$726:$B$760 = 'CalHFA Addendum'!P$18)*(Application!$AC$726:$AC$760 = 'CalHFA Addendum'!$B23),Application!$G$726:$G$760)</f>
        <v>0</v>
      </c>
      <c r="Q23" s="1956"/>
      <c r="R23" s="1956"/>
      <c r="S23" s="1956"/>
      <c r="T23" s="1956"/>
      <c r="U23" s="1957"/>
      <c r="V23" s="1955" cm="1">
        <f t="array" ref="V23">SUMPRODUCT((Application!$B$726:$B$760 = 'CalHFA Addendum'!V$18)*(Application!$AC$726:$AC$760 = 'CalHFA Addendum'!$B23),Application!$G$726:$G$760)</f>
        <v>0</v>
      </c>
      <c r="W23" s="1956"/>
      <c r="X23" s="1956"/>
      <c r="Y23" s="1956"/>
      <c r="Z23" s="1956"/>
      <c r="AA23" s="1957"/>
      <c r="AB23" s="1955" cm="1">
        <f t="array" ref="AB23">SUMPRODUCT((Application!$B$726:$B$760 = 'CalHFA Addendum'!AB$18)*(Application!$AC$726:$AC$760 = 'CalHFA Addendum'!$B23),Application!$G$726:$G$760)</f>
        <v>0</v>
      </c>
      <c r="AC23" s="1956"/>
      <c r="AD23" s="1956"/>
      <c r="AE23" s="1956"/>
      <c r="AF23" s="1956"/>
      <c r="AG23" s="1957"/>
      <c r="AH23" s="1955" cm="1">
        <f t="array" ref="AH23">SUMPRODUCT((Application!$B$726:$B$760 = 'CalHFA Addendum'!AH$18)*(Application!$AC$726:$AC$760 = 'CalHFA Addendum'!$B23),Application!$G$726:$G$760)</f>
        <v>0</v>
      </c>
      <c r="AI23" s="1956"/>
      <c r="AJ23" s="1956"/>
      <c r="AK23" s="1956"/>
      <c r="AL23" s="1956"/>
      <c r="AM23" s="1957"/>
      <c r="AN23" s="1955" cm="1">
        <f t="array" ref="AN23">SUMPRODUCT((Application!$B$726:$B$760 = 'CalHFA Addendum'!AN$18)*(Application!$AC$726:$AC$760 = 'CalHFA Addendum'!$B23),Application!$G$726:$G$760)</f>
        <v>0</v>
      </c>
      <c r="AO23" s="1956"/>
      <c r="AP23" s="1956"/>
      <c r="AQ23" s="1956"/>
      <c r="AR23" s="1956"/>
      <c r="AS23" s="1957"/>
      <c r="AT23" s="1958">
        <f t="shared" si="1"/>
        <v>0</v>
      </c>
      <c r="AU23" s="1959"/>
      <c r="AV23" s="1959"/>
      <c r="AW23" s="1959"/>
      <c r="AX23" s="1959"/>
      <c r="AY23" s="1960"/>
      <c r="AZ23" s="1208"/>
      <c r="BA23" s="1208"/>
      <c r="BB23" s="1208"/>
      <c r="BC23" s="1208"/>
      <c r="BD23" s="1208"/>
      <c r="BE23" s="1215"/>
    </row>
    <row r="24" spans="1:58" ht="14.4">
      <c r="A24" s="1208"/>
      <c r="B24" s="1952">
        <v>0.8</v>
      </c>
      <c r="C24" s="1953"/>
      <c r="D24" s="1953"/>
      <c r="E24" s="1953"/>
      <c r="F24" s="1953"/>
      <c r="G24" s="1953"/>
      <c r="H24" s="1953"/>
      <c r="I24" s="1954"/>
      <c r="J24" s="1955">
        <f t="shared" si="0"/>
        <v>0</v>
      </c>
      <c r="K24" s="1956"/>
      <c r="L24" s="1956"/>
      <c r="M24" s="1956"/>
      <c r="N24" s="1956"/>
      <c r="O24" s="1957"/>
      <c r="P24" s="1955" cm="1">
        <f t="array" ref="P24">SUMPRODUCT((Application!$B$726:$B$760 = 'CalHFA Addendum'!P$18)*(Application!$AC$726:$AC$760 = 'CalHFA Addendum'!$B24),Application!$G$726:$G$760)</f>
        <v>0</v>
      </c>
      <c r="Q24" s="1956"/>
      <c r="R24" s="1956"/>
      <c r="S24" s="1956"/>
      <c r="T24" s="1956"/>
      <c r="U24" s="1957"/>
      <c r="V24" s="1955" cm="1">
        <f t="array" ref="V24">SUMPRODUCT((Application!$B$726:$B$760 = 'CalHFA Addendum'!V$18)*(Application!$AC$726:$AC$760 = 'CalHFA Addendum'!$B24),Application!$G$726:$G$760)</f>
        <v>0</v>
      </c>
      <c r="W24" s="1956"/>
      <c r="X24" s="1956"/>
      <c r="Y24" s="1956"/>
      <c r="Z24" s="1956"/>
      <c r="AA24" s="1957"/>
      <c r="AB24" s="1955" cm="1">
        <f t="array" ref="AB24">SUMPRODUCT((Application!$B$726:$B$760 = 'CalHFA Addendum'!AB$18)*(Application!$AC$726:$AC$760 = 'CalHFA Addendum'!$B24),Application!$G$726:$G$760)</f>
        <v>0</v>
      </c>
      <c r="AC24" s="1956"/>
      <c r="AD24" s="1956"/>
      <c r="AE24" s="1956"/>
      <c r="AF24" s="1956"/>
      <c r="AG24" s="1957"/>
      <c r="AH24" s="1955" cm="1">
        <f t="array" ref="AH24">SUMPRODUCT((Application!$B$726:$B$760 = 'CalHFA Addendum'!AH$18)*(Application!$AC$726:$AC$760 = 'CalHFA Addendum'!$B24),Application!$G$726:$G$760)</f>
        <v>0</v>
      </c>
      <c r="AI24" s="1956"/>
      <c r="AJ24" s="1956"/>
      <c r="AK24" s="1956"/>
      <c r="AL24" s="1956"/>
      <c r="AM24" s="1957"/>
      <c r="AN24" s="1955" cm="1">
        <f t="array" ref="AN24">SUMPRODUCT((Application!$B$726:$B$760 = 'CalHFA Addendum'!AN$18)*(Application!$AC$726:$AC$760 = 'CalHFA Addendum'!$B24),Application!$G$726:$G$760)</f>
        <v>0</v>
      </c>
      <c r="AO24" s="1956"/>
      <c r="AP24" s="1956"/>
      <c r="AQ24" s="1956"/>
      <c r="AR24" s="1956"/>
      <c r="AS24" s="1957"/>
      <c r="AT24" s="1958">
        <f t="shared" si="1"/>
        <v>0</v>
      </c>
      <c r="AU24" s="1959"/>
      <c r="AV24" s="1959"/>
      <c r="AW24" s="1959"/>
      <c r="AX24" s="1959"/>
      <c r="AY24" s="1960"/>
      <c r="AZ24" s="1208"/>
      <c r="BA24" s="1208"/>
      <c r="BB24" s="1208"/>
      <c r="BC24" s="1208"/>
      <c r="BD24" s="1208"/>
      <c r="BE24" s="1215"/>
    </row>
    <row r="25" spans="1:58" ht="14.4">
      <c r="A25" s="1208"/>
      <c r="B25" s="1952">
        <v>0.9</v>
      </c>
      <c r="C25" s="1953"/>
      <c r="D25" s="1953"/>
      <c r="E25" s="1953"/>
      <c r="F25" s="1953"/>
      <c r="G25" s="1953"/>
      <c r="H25" s="1953"/>
      <c r="I25" s="1954"/>
      <c r="J25" s="1961"/>
      <c r="K25" s="1962"/>
      <c r="L25" s="1962"/>
      <c r="M25" s="1962"/>
      <c r="N25" s="1962"/>
      <c r="O25" s="1963"/>
      <c r="P25" s="1961"/>
      <c r="Q25" s="1962"/>
      <c r="R25" s="1962"/>
      <c r="S25" s="1962"/>
      <c r="T25" s="1962"/>
      <c r="U25" s="1963"/>
      <c r="V25" s="1961"/>
      <c r="W25" s="1962"/>
      <c r="X25" s="1962"/>
      <c r="Y25" s="1962"/>
      <c r="Z25" s="1962"/>
      <c r="AA25" s="1963"/>
      <c r="AB25" s="1961"/>
      <c r="AC25" s="1962"/>
      <c r="AD25" s="1962"/>
      <c r="AE25" s="1962"/>
      <c r="AF25" s="1962"/>
      <c r="AG25" s="1963"/>
      <c r="AH25" s="1961"/>
      <c r="AI25" s="1962"/>
      <c r="AJ25" s="1962"/>
      <c r="AK25" s="1962"/>
      <c r="AL25" s="1962"/>
      <c r="AM25" s="1963"/>
      <c r="AN25" s="1961"/>
      <c r="AO25" s="1962"/>
      <c r="AP25" s="1962"/>
      <c r="AQ25" s="1962"/>
      <c r="AR25" s="1962"/>
      <c r="AS25" s="1963"/>
      <c r="AT25" s="1958">
        <f t="shared" si="1"/>
        <v>0</v>
      </c>
      <c r="AU25" s="1959"/>
      <c r="AV25" s="1959"/>
      <c r="AW25" s="1959"/>
      <c r="AX25" s="1959"/>
      <c r="AY25" s="1960"/>
      <c r="AZ25" s="1208"/>
      <c r="BA25" s="1208"/>
      <c r="BB25" s="1208"/>
      <c r="BC25" s="1208"/>
      <c r="BD25" s="1208"/>
      <c r="BE25" s="1215"/>
    </row>
    <row r="26" spans="1:58" ht="14.4">
      <c r="A26" s="1208"/>
      <c r="B26" s="1952">
        <v>1</v>
      </c>
      <c r="C26" s="1953"/>
      <c r="D26" s="1953"/>
      <c r="E26" s="1953"/>
      <c r="F26" s="1953"/>
      <c r="G26" s="1953"/>
      <c r="H26" s="1953"/>
      <c r="I26" s="1954"/>
      <c r="J26" s="1961"/>
      <c r="K26" s="1962"/>
      <c r="L26" s="1962"/>
      <c r="M26" s="1962"/>
      <c r="N26" s="1962"/>
      <c r="O26" s="1963"/>
      <c r="P26" s="1961"/>
      <c r="Q26" s="1962"/>
      <c r="R26" s="1962"/>
      <c r="S26" s="1962"/>
      <c r="T26" s="1962"/>
      <c r="U26" s="1963"/>
      <c r="V26" s="1961"/>
      <c r="W26" s="1962"/>
      <c r="X26" s="1962"/>
      <c r="Y26" s="1962"/>
      <c r="Z26" s="1962"/>
      <c r="AA26" s="1963"/>
      <c r="AB26" s="1961"/>
      <c r="AC26" s="1962"/>
      <c r="AD26" s="1962"/>
      <c r="AE26" s="1962"/>
      <c r="AF26" s="1962"/>
      <c r="AG26" s="1963"/>
      <c r="AH26" s="1961"/>
      <c r="AI26" s="1962"/>
      <c r="AJ26" s="1962"/>
      <c r="AK26" s="1962"/>
      <c r="AL26" s="1962"/>
      <c r="AM26" s="1963"/>
      <c r="AN26" s="1961"/>
      <c r="AO26" s="1962"/>
      <c r="AP26" s="1962"/>
      <c r="AQ26" s="1962"/>
      <c r="AR26" s="1962"/>
      <c r="AS26" s="1963"/>
      <c r="AT26" s="1958">
        <f t="shared" si="1"/>
        <v>0</v>
      </c>
      <c r="AU26" s="1959"/>
      <c r="AV26" s="1959"/>
      <c r="AW26" s="1959"/>
      <c r="AX26" s="1959"/>
      <c r="AY26" s="1960"/>
      <c r="AZ26" s="1208"/>
      <c r="BA26" s="1208"/>
      <c r="BB26" s="1208"/>
      <c r="BC26" s="1208"/>
      <c r="BD26" s="1208"/>
      <c r="BE26" s="1215"/>
    </row>
    <row r="27" spans="1:58" ht="14.4">
      <c r="A27" s="1208"/>
      <c r="B27" s="1952">
        <v>1.2</v>
      </c>
      <c r="C27" s="1953"/>
      <c r="D27" s="1953"/>
      <c r="E27" s="1953"/>
      <c r="F27" s="1953"/>
      <c r="G27" s="1953"/>
      <c r="H27" s="1953"/>
      <c r="I27" s="1954"/>
      <c r="J27" s="1961"/>
      <c r="K27" s="1962"/>
      <c r="L27" s="1962"/>
      <c r="M27" s="1962"/>
      <c r="N27" s="1962"/>
      <c r="O27" s="1963"/>
      <c r="P27" s="1961"/>
      <c r="Q27" s="1962"/>
      <c r="R27" s="1962"/>
      <c r="S27" s="1962"/>
      <c r="T27" s="1962"/>
      <c r="U27" s="1963"/>
      <c r="V27" s="1961"/>
      <c r="W27" s="1962"/>
      <c r="X27" s="1962"/>
      <c r="Y27" s="1962"/>
      <c r="Z27" s="1962"/>
      <c r="AA27" s="1963"/>
      <c r="AB27" s="1961"/>
      <c r="AC27" s="1962"/>
      <c r="AD27" s="1962"/>
      <c r="AE27" s="1962"/>
      <c r="AF27" s="1962"/>
      <c r="AG27" s="1963"/>
      <c r="AH27" s="1961"/>
      <c r="AI27" s="1962"/>
      <c r="AJ27" s="1962"/>
      <c r="AK27" s="1962"/>
      <c r="AL27" s="1962"/>
      <c r="AM27" s="1963"/>
      <c r="AN27" s="1961"/>
      <c r="AO27" s="1962"/>
      <c r="AP27" s="1962"/>
      <c r="AQ27" s="1962"/>
      <c r="AR27" s="1962"/>
      <c r="AS27" s="1963"/>
      <c r="AT27" s="1958">
        <f t="shared" si="1"/>
        <v>0</v>
      </c>
      <c r="AU27" s="1959"/>
      <c r="AV27" s="1959"/>
      <c r="AW27" s="1959"/>
      <c r="AX27" s="1959"/>
      <c r="AY27" s="1960"/>
      <c r="AZ27" s="1208"/>
      <c r="BA27" s="1208"/>
      <c r="BB27" s="1208"/>
      <c r="BC27" s="1208"/>
      <c r="BD27" s="1208"/>
      <c r="BE27" s="1215"/>
    </row>
    <row r="28" spans="1:58" ht="15" thickBot="1">
      <c r="A28" s="1208"/>
      <c r="B28" s="1964" t="s">
        <v>2362</v>
      </c>
      <c r="C28" s="1965"/>
      <c r="D28" s="1965"/>
      <c r="E28" s="1965"/>
      <c r="F28" s="1965"/>
      <c r="G28" s="1965"/>
      <c r="H28" s="1965"/>
      <c r="I28" s="1966"/>
      <c r="J28" s="1967">
        <f>SUM(P28:AS28)</f>
        <v>2</v>
      </c>
      <c r="K28" s="1968"/>
      <c r="L28" s="1968"/>
      <c r="M28" s="1968"/>
      <c r="N28" s="1968"/>
      <c r="O28" s="1969"/>
      <c r="P28" s="1967">
        <f>_xlfn.IFNA(VLOOKUP(P$18,Application!$J$781:$S$784,6,FALSE), 0)</f>
        <v>0</v>
      </c>
      <c r="Q28" s="1968"/>
      <c r="R28" s="1968"/>
      <c r="S28" s="1968"/>
      <c r="T28" s="1968"/>
      <c r="U28" s="1969"/>
      <c r="V28" s="1967">
        <f>_xlfn.IFNA(VLOOKUP(V$18,Application!$J$781:$S$784,6,FALSE), 0)</f>
        <v>0</v>
      </c>
      <c r="W28" s="1968"/>
      <c r="X28" s="1968"/>
      <c r="Y28" s="1968"/>
      <c r="Z28" s="1968"/>
      <c r="AA28" s="1969"/>
      <c r="AB28" s="1967">
        <f>_xlfn.IFNA(VLOOKUP(AB$18,Application!$J$781:$S$784,6,FALSE), 0)</f>
        <v>2</v>
      </c>
      <c r="AC28" s="1968"/>
      <c r="AD28" s="1968"/>
      <c r="AE28" s="1968"/>
      <c r="AF28" s="1968"/>
      <c r="AG28" s="1969"/>
      <c r="AH28" s="1967">
        <f>_xlfn.IFNA(VLOOKUP(AH$18,Application!$J$781:$S$784,6,FALSE), 0)</f>
        <v>0</v>
      </c>
      <c r="AI28" s="1968"/>
      <c r="AJ28" s="1968"/>
      <c r="AK28" s="1968"/>
      <c r="AL28" s="1968"/>
      <c r="AM28" s="1969"/>
      <c r="AN28" s="1967">
        <f>_xlfn.IFNA(VLOOKUP(AN$18,Application!$J$781:$S$784,6,FALSE), 0)</f>
        <v>0</v>
      </c>
      <c r="AO28" s="1968"/>
      <c r="AP28" s="1968"/>
      <c r="AQ28" s="1968"/>
      <c r="AR28" s="1968"/>
      <c r="AS28" s="1969"/>
      <c r="AT28" s="1970">
        <f t="shared" si="1"/>
        <v>2.1052631578947368E-2</v>
      </c>
      <c r="AU28" s="1971"/>
      <c r="AV28" s="1971"/>
      <c r="AW28" s="1971"/>
      <c r="AX28" s="1971"/>
      <c r="AY28" s="1972"/>
      <c r="AZ28" s="1208"/>
      <c r="BA28" s="1208"/>
      <c r="BB28" s="1208"/>
      <c r="BC28" s="1208"/>
      <c r="BD28" s="1208"/>
      <c r="BE28" s="1215"/>
    </row>
    <row r="29" spans="1:58" ht="15" thickBot="1">
      <c r="A29" s="1208"/>
      <c r="B29" s="2001" t="s">
        <v>1574</v>
      </c>
      <c r="C29" s="1974"/>
      <c r="D29" s="1974"/>
      <c r="E29" s="1974"/>
      <c r="F29" s="1974"/>
      <c r="G29" s="1974"/>
      <c r="H29" s="1974"/>
      <c r="I29" s="1975"/>
      <c r="J29" s="1973">
        <f>SUM(J19:O28)</f>
        <v>95</v>
      </c>
      <c r="K29" s="1974"/>
      <c r="L29" s="1974"/>
      <c r="M29" s="1974"/>
      <c r="N29" s="1974"/>
      <c r="O29" s="1975"/>
      <c r="P29" s="1973">
        <f>SUM(P19:U28)</f>
        <v>41</v>
      </c>
      <c r="Q29" s="1974"/>
      <c r="R29" s="1974"/>
      <c r="S29" s="1974"/>
      <c r="T29" s="1974"/>
      <c r="U29" s="1975"/>
      <c r="V29" s="1973">
        <f>SUM(V19:AA28)</f>
        <v>47</v>
      </c>
      <c r="W29" s="1974"/>
      <c r="X29" s="1974"/>
      <c r="Y29" s="1974"/>
      <c r="Z29" s="1974"/>
      <c r="AA29" s="1975"/>
      <c r="AB29" s="1973">
        <f>SUM(AB19:AG28)</f>
        <v>7</v>
      </c>
      <c r="AC29" s="1974"/>
      <c r="AD29" s="1974"/>
      <c r="AE29" s="1974"/>
      <c r="AF29" s="1974"/>
      <c r="AG29" s="1975"/>
      <c r="AH29" s="1973">
        <f>SUM(AH19:AM28)</f>
        <v>0</v>
      </c>
      <c r="AI29" s="1974"/>
      <c r="AJ29" s="1974"/>
      <c r="AK29" s="1974"/>
      <c r="AL29" s="1974"/>
      <c r="AM29" s="1975"/>
      <c r="AN29" s="1973">
        <f>SUM(AN19:AS28)</f>
        <v>0</v>
      </c>
      <c r="AO29" s="1974"/>
      <c r="AP29" s="1974"/>
      <c r="AQ29" s="1974"/>
      <c r="AR29" s="1974"/>
      <c r="AS29" s="1975"/>
      <c r="AT29" s="1976">
        <f t="shared" si="1"/>
        <v>1</v>
      </c>
      <c r="AU29" s="1977"/>
      <c r="AV29" s="1977"/>
      <c r="AW29" s="1977"/>
      <c r="AX29" s="1977"/>
      <c r="AY29" s="1978"/>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79" t="s">
        <v>2361</v>
      </c>
      <c r="C31" s="1980"/>
      <c r="D31" s="1980"/>
      <c r="E31" s="1980"/>
      <c r="F31" s="1980"/>
      <c r="G31" s="1980"/>
      <c r="H31" s="1980"/>
      <c r="I31" s="1980"/>
      <c r="J31" s="1980"/>
      <c r="K31" s="1980"/>
      <c r="L31" s="1980"/>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0"/>
      <c r="AO31" s="1980"/>
      <c r="AP31" s="1980"/>
      <c r="AQ31" s="1980"/>
      <c r="AR31" s="1980"/>
      <c r="AS31" s="1980"/>
      <c r="AT31" s="1980"/>
      <c r="AU31" s="1980"/>
      <c r="AV31" s="1980"/>
      <c r="AW31" s="1980"/>
      <c r="AX31" s="1980"/>
      <c r="AY31" s="1980"/>
      <c r="AZ31" s="1980"/>
      <c r="BA31" s="1980"/>
      <c r="BB31" s="1980"/>
      <c r="BC31" s="1980"/>
      <c r="BD31" s="1981"/>
      <c r="BE31" s="1215"/>
    </row>
    <row r="32" spans="1:58" ht="15" thickBot="1">
      <c r="A32" s="1208"/>
      <c r="B32" s="1982" t="s">
        <v>2360</v>
      </c>
      <c r="C32" s="1983"/>
      <c r="D32" s="1983"/>
      <c r="E32" s="1983"/>
      <c r="F32" s="1983"/>
      <c r="G32" s="1983"/>
      <c r="H32" s="1983"/>
      <c r="I32" s="1983"/>
      <c r="J32" s="1986" t="s">
        <v>2359</v>
      </c>
      <c r="K32" s="1987"/>
      <c r="L32" s="1987"/>
      <c r="M32" s="1987"/>
      <c r="N32" s="1986" t="s">
        <v>2358</v>
      </c>
      <c r="O32" s="1987"/>
      <c r="P32" s="1987"/>
      <c r="Q32" s="1989"/>
      <c r="R32" s="1991" t="s">
        <v>2357</v>
      </c>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1992"/>
      <c r="AO32" s="1992"/>
      <c r="AP32" s="1992"/>
      <c r="AQ32" s="1992"/>
      <c r="AR32" s="1992"/>
      <c r="AS32" s="1992"/>
      <c r="AT32" s="1992"/>
      <c r="AU32" s="1992"/>
      <c r="AV32" s="1992"/>
      <c r="AW32" s="1992"/>
      <c r="AX32" s="1992"/>
      <c r="AY32" s="1992"/>
      <c r="AZ32" s="1992"/>
      <c r="BA32" s="1992"/>
      <c r="BB32" s="1992"/>
      <c r="BC32" s="1992"/>
      <c r="BD32" s="1993"/>
      <c r="BE32" s="1215"/>
    </row>
    <row r="33" spans="1:58" ht="15" customHeight="1">
      <c r="A33" s="1208"/>
      <c r="B33" s="1984"/>
      <c r="C33" s="1985"/>
      <c r="D33" s="1985"/>
      <c r="E33" s="1985"/>
      <c r="F33" s="1985"/>
      <c r="G33" s="1985"/>
      <c r="H33" s="1985"/>
      <c r="I33" s="1985"/>
      <c r="J33" s="1988"/>
      <c r="K33" s="1988"/>
      <c r="L33" s="1988"/>
      <c r="M33" s="1988"/>
      <c r="N33" s="1988"/>
      <c r="O33" s="1988"/>
      <c r="P33" s="1988"/>
      <c r="Q33" s="1990"/>
      <c r="R33" s="1994" t="s">
        <v>2356</v>
      </c>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1995"/>
      <c r="AO33" s="1995"/>
      <c r="AP33" s="1995"/>
      <c r="AQ33" s="1995"/>
      <c r="AR33" s="1995"/>
      <c r="AS33" s="1995"/>
      <c r="AT33" s="1995"/>
      <c r="AU33" s="1995"/>
      <c r="AV33" s="1995"/>
      <c r="AW33" s="1995"/>
      <c r="AX33" s="1995"/>
      <c r="AY33" s="1995"/>
      <c r="AZ33" s="1995"/>
      <c r="BA33" s="1995"/>
      <c r="BB33" s="1995"/>
      <c r="BC33" s="1995"/>
      <c r="BD33" s="1996"/>
      <c r="BE33" s="1215"/>
    </row>
    <row r="34" spans="1:58" ht="15.75" customHeight="1" thickBot="1">
      <c r="A34" s="1208"/>
      <c r="B34" s="1984"/>
      <c r="C34" s="1985"/>
      <c r="D34" s="1985"/>
      <c r="E34" s="1985"/>
      <c r="F34" s="1985"/>
      <c r="G34" s="1985"/>
      <c r="H34" s="1985"/>
      <c r="I34" s="1985"/>
      <c r="J34" s="1988"/>
      <c r="K34" s="1988"/>
      <c r="L34" s="1988"/>
      <c r="M34" s="1988"/>
      <c r="N34" s="1988"/>
      <c r="O34" s="1988"/>
      <c r="P34" s="1988"/>
      <c r="Q34" s="1990"/>
      <c r="R34" s="1997"/>
      <c r="S34" s="1998"/>
      <c r="T34" s="1998"/>
      <c r="U34" s="1998"/>
      <c r="V34" s="1998"/>
      <c r="W34" s="1998"/>
      <c r="X34" s="1998"/>
      <c r="Y34" s="1998"/>
      <c r="Z34" s="1998"/>
      <c r="AA34" s="1998"/>
      <c r="AB34" s="1998"/>
      <c r="AC34" s="1998"/>
      <c r="AD34" s="1998"/>
      <c r="AE34" s="1998"/>
      <c r="AF34" s="1998"/>
      <c r="AG34" s="1998"/>
      <c r="AH34" s="1998"/>
      <c r="AI34" s="1998"/>
      <c r="AJ34" s="1998"/>
      <c r="AK34" s="1998"/>
      <c r="AL34" s="1998"/>
      <c r="AM34" s="1998"/>
      <c r="AN34" s="1998"/>
      <c r="AO34" s="1998"/>
      <c r="AP34" s="1998"/>
      <c r="AQ34" s="1998"/>
      <c r="AR34" s="1998"/>
      <c r="AS34" s="1998"/>
      <c r="AT34" s="1998"/>
      <c r="AU34" s="1998"/>
      <c r="AV34" s="1998"/>
      <c r="AW34" s="1998"/>
      <c r="AX34" s="1998"/>
      <c r="AY34" s="1998"/>
      <c r="AZ34" s="1998"/>
      <c r="BA34" s="1998"/>
      <c r="BB34" s="1998"/>
      <c r="BC34" s="1998"/>
      <c r="BD34" s="1999"/>
      <c r="BE34" s="1215"/>
    </row>
    <row r="35" spans="1:58" ht="15.75" customHeight="1">
      <c r="A35" s="1208"/>
      <c r="B35" s="1984"/>
      <c r="C35" s="1985"/>
      <c r="D35" s="1985"/>
      <c r="E35" s="1985"/>
      <c r="F35" s="1985"/>
      <c r="G35" s="1985"/>
      <c r="H35" s="1985"/>
      <c r="I35" s="1985"/>
      <c r="J35" s="1988"/>
      <c r="K35" s="1988"/>
      <c r="L35" s="1988"/>
      <c r="M35" s="1988"/>
      <c r="N35" s="1988"/>
      <c r="O35" s="1988"/>
      <c r="P35" s="1988"/>
      <c r="Q35" s="1988"/>
      <c r="R35" s="2000">
        <v>0.3</v>
      </c>
      <c r="S35" s="2000"/>
      <c r="T35" s="2000"/>
      <c r="U35" s="2000"/>
      <c r="V35" s="2000">
        <v>0.4</v>
      </c>
      <c r="W35" s="2000"/>
      <c r="X35" s="2000"/>
      <c r="Y35" s="2000"/>
      <c r="Z35" s="2000">
        <v>0.5</v>
      </c>
      <c r="AA35" s="2000"/>
      <c r="AB35" s="2000"/>
      <c r="AC35" s="2000"/>
      <c r="AD35" s="2000">
        <v>0.6</v>
      </c>
      <c r="AE35" s="2000"/>
      <c r="AF35" s="2000"/>
      <c r="AG35" s="2000"/>
      <c r="AH35" s="2000">
        <v>0.7</v>
      </c>
      <c r="AI35" s="2000"/>
      <c r="AJ35" s="2000"/>
      <c r="AK35" s="2000"/>
      <c r="AL35" s="2005">
        <v>0.8</v>
      </c>
      <c r="AM35" s="2006"/>
      <c r="AN35" s="2006"/>
      <c r="AO35" s="2007"/>
      <c r="AP35" s="2008">
        <v>1.2</v>
      </c>
      <c r="AQ35" s="2009"/>
      <c r="AR35" s="2010"/>
      <c r="AS35" s="2002" t="s">
        <v>2355</v>
      </c>
      <c r="AT35" s="2003"/>
      <c r="AU35" s="2003"/>
      <c r="AV35" s="2003"/>
      <c r="AW35" s="2003"/>
      <c r="AX35" s="2011"/>
      <c r="AY35" s="2002" t="s">
        <v>2354</v>
      </c>
      <c r="AZ35" s="2003"/>
      <c r="BA35" s="2003"/>
      <c r="BB35" s="2003"/>
      <c r="BC35" s="2003"/>
      <c r="BD35" s="2004"/>
      <c r="BE35" s="1215"/>
    </row>
    <row r="36" spans="1:58" ht="15.75" customHeight="1">
      <c r="A36" s="1208"/>
      <c r="B36" s="2021" t="s">
        <v>2353</v>
      </c>
      <c r="C36" s="2022"/>
      <c r="D36" s="2022"/>
      <c r="E36" s="2022"/>
      <c r="F36" s="2022"/>
      <c r="G36" s="2022"/>
      <c r="H36" s="2022"/>
      <c r="I36" s="2022"/>
      <c r="J36" s="2023" t="s">
        <v>2352</v>
      </c>
      <c r="K36" s="2023"/>
      <c r="L36" s="2023"/>
      <c r="M36" s="2023"/>
      <c r="N36" s="2023">
        <v>55</v>
      </c>
      <c r="O36" s="2023"/>
      <c r="P36" s="2023"/>
      <c r="Q36" s="2023"/>
      <c r="R36" s="2024"/>
      <c r="S36" s="2024"/>
      <c r="T36" s="2024"/>
      <c r="U36" s="2024"/>
      <c r="V36" s="2024"/>
      <c r="W36" s="2024"/>
      <c r="X36" s="2024"/>
      <c r="Y36" s="2024"/>
      <c r="Z36" s="2024"/>
      <c r="AA36" s="2024"/>
      <c r="AB36" s="2024"/>
      <c r="AC36" s="2024"/>
      <c r="AD36" s="2024"/>
      <c r="AE36" s="2024"/>
      <c r="AF36" s="2024"/>
      <c r="AG36" s="2024"/>
      <c r="AH36" s="2024"/>
      <c r="AI36" s="2024"/>
      <c r="AJ36" s="2024"/>
      <c r="AK36" s="2024"/>
      <c r="AL36" s="2012"/>
      <c r="AM36" s="2013"/>
      <c r="AN36" s="2013"/>
      <c r="AO36" s="2014"/>
      <c r="AP36" s="2012"/>
      <c r="AQ36" s="2013"/>
      <c r="AR36" s="2014"/>
      <c r="AS36" s="2015">
        <f t="shared" ref="AS36:AS47" si="2">SUM(R36:AR36)</f>
        <v>0</v>
      </c>
      <c r="AT36" s="2016"/>
      <c r="AU36" s="2016"/>
      <c r="AV36" s="2016"/>
      <c r="AW36" s="2016"/>
      <c r="AX36" s="2017"/>
      <c r="AY36" s="2018">
        <f t="shared" ref="AY36:AY47" si="3">AS36/$J$29</f>
        <v>0</v>
      </c>
      <c r="AZ36" s="2019"/>
      <c r="BA36" s="2019"/>
      <c r="BB36" s="2019"/>
      <c r="BC36" s="2019"/>
      <c r="BD36" s="2020"/>
      <c r="BE36" s="1215"/>
    </row>
    <row r="37" spans="1:58" ht="15.75" customHeight="1">
      <c r="A37" s="1208"/>
      <c r="B37" s="2021" t="s">
        <v>2351</v>
      </c>
      <c r="C37" s="2022"/>
      <c r="D37" s="2022"/>
      <c r="E37" s="2022"/>
      <c r="F37" s="2022"/>
      <c r="G37" s="2022"/>
      <c r="H37" s="2022"/>
      <c r="I37" s="2022"/>
      <c r="J37" s="2023" t="s">
        <v>2350</v>
      </c>
      <c r="K37" s="2023"/>
      <c r="L37" s="2023"/>
      <c r="M37" s="2023"/>
      <c r="N37" s="2023">
        <v>55</v>
      </c>
      <c r="O37" s="2023"/>
      <c r="P37" s="2023"/>
      <c r="Q37" s="2023"/>
      <c r="R37" s="2024"/>
      <c r="S37" s="2024"/>
      <c r="T37" s="2024"/>
      <c r="U37" s="2024"/>
      <c r="V37" s="2024"/>
      <c r="W37" s="2024"/>
      <c r="X37" s="2024"/>
      <c r="Y37" s="2024"/>
      <c r="Z37" s="2024"/>
      <c r="AA37" s="2024"/>
      <c r="AB37" s="2024"/>
      <c r="AC37" s="2024"/>
      <c r="AD37" s="2024"/>
      <c r="AE37" s="2024"/>
      <c r="AF37" s="2024"/>
      <c r="AG37" s="2024"/>
      <c r="AH37" s="2024"/>
      <c r="AI37" s="2024"/>
      <c r="AJ37" s="2024"/>
      <c r="AK37" s="2024"/>
      <c r="AL37" s="2012"/>
      <c r="AM37" s="2013"/>
      <c r="AN37" s="2013"/>
      <c r="AO37" s="2014"/>
      <c r="AP37" s="2012"/>
      <c r="AQ37" s="2013"/>
      <c r="AR37" s="2014"/>
      <c r="AS37" s="2015">
        <f t="shared" si="2"/>
        <v>0</v>
      </c>
      <c r="AT37" s="2016"/>
      <c r="AU37" s="2016"/>
      <c r="AV37" s="2016"/>
      <c r="AW37" s="2016"/>
      <c r="AX37" s="2017"/>
      <c r="AY37" s="2018">
        <f t="shared" si="3"/>
        <v>0</v>
      </c>
      <c r="AZ37" s="2019"/>
      <c r="BA37" s="2019"/>
      <c r="BB37" s="2019"/>
      <c r="BC37" s="2019"/>
      <c r="BD37" s="2020"/>
      <c r="BE37" s="1215"/>
    </row>
    <row r="38" spans="1:58" ht="15.75" customHeight="1">
      <c r="A38" s="1208"/>
      <c r="B38" s="2021" t="s">
        <v>2349</v>
      </c>
      <c r="C38" s="2022"/>
      <c r="D38" s="2022"/>
      <c r="E38" s="2022"/>
      <c r="F38" s="2022"/>
      <c r="G38" s="2022"/>
      <c r="H38" s="2022"/>
      <c r="I38" s="2022"/>
      <c r="J38" s="2023" t="s">
        <v>2348</v>
      </c>
      <c r="K38" s="2023"/>
      <c r="L38" s="2023"/>
      <c r="M38" s="2023"/>
      <c r="N38" s="2023">
        <v>55</v>
      </c>
      <c r="O38" s="2023"/>
      <c r="P38" s="2023"/>
      <c r="Q38" s="2023"/>
      <c r="R38" s="2024"/>
      <c r="S38" s="2024"/>
      <c r="T38" s="2024"/>
      <c r="U38" s="2024"/>
      <c r="V38" s="2024"/>
      <c r="W38" s="2024"/>
      <c r="X38" s="2024"/>
      <c r="Y38" s="2024"/>
      <c r="Z38" s="2024"/>
      <c r="AA38" s="2024"/>
      <c r="AB38" s="2024"/>
      <c r="AC38" s="2024"/>
      <c r="AD38" s="2024"/>
      <c r="AE38" s="2024"/>
      <c r="AF38" s="2024"/>
      <c r="AG38" s="2024"/>
      <c r="AH38" s="2024"/>
      <c r="AI38" s="2024"/>
      <c r="AJ38" s="2024"/>
      <c r="AK38" s="2024"/>
      <c r="AL38" s="2012"/>
      <c r="AM38" s="2013"/>
      <c r="AN38" s="2013"/>
      <c r="AO38" s="2014"/>
      <c r="AP38" s="2012"/>
      <c r="AQ38" s="2013"/>
      <c r="AR38" s="2014"/>
      <c r="AS38" s="2015">
        <f t="shared" si="2"/>
        <v>0</v>
      </c>
      <c r="AT38" s="2016"/>
      <c r="AU38" s="2016"/>
      <c r="AV38" s="2016"/>
      <c r="AW38" s="2016"/>
      <c r="AX38" s="2017"/>
      <c r="AY38" s="2018">
        <f t="shared" si="3"/>
        <v>0</v>
      </c>
      <c r="AZ38" s="2019"/>
      <c r="BA38" s="2019"/>
      <c r="BB38" s="2019"/>
      <c r="BC38" s="2019"/>
      <c r="BD38" s="2020"/>
      <c r="BE38" s="1215"/>
    </row>
    <row r="39" spans="1:58" ht="15.75" customHeight="1">
      <c r="A39" s="1208"/>
      <c r="B39" s="2021" t="s">
        <v>2347</v>
      </c>
      <c r="C39" s="2022"/>
      <c r="D39" s="2022"/>
      <c r="E39" s="2022"/>
      <c r="F39" s="2022"/>
      <c r="G39" s="2022"/>
      <c r="H39" s="2022"/>
      <c r="I39" s="2022"/>
      <c r="J39" s="2023"/>
      <c r="K39" s="2023"/>
      <c r="L39" s="2023"/>
      <c r="M39" s="2023"/>
      <c r="N39" s="2023"/>
      <c r="O39" s="2023"/>
      <c r="P39" s="2023"/>
      <c r="Q39" s="2023"/>
      <c r="R39" s="2024"/>
      <c r="S39" s="2024"/>
      <c r="T39" s="2024"/>
      <c r="U39" s="2024"/>
      <c r="V39" s="2024"/>
      <c r="W39" s="2024"/>
      <c r="X39" s="2024"/>
      <c r="Y39" s="2024"/>
      <c r="Z39" s="2024"/>
      <c r="AA39" s="2024"/>
      <c r="AB39" s="2024"/>
      <c r="AC39" s="2024"/>
      <c r="AD39" s="2024"/>
      <c r="AE39" s="2024"/>
      <c r="AF39" s="2024"/>
      <c r="AG39" s="2024"/>
      <c r="AH39" s="2024"/>
      <c r="AI39" s="2024"/>
      <c r="AJ39" s="2024"/>
      <c r="AK39" s="2024"/>
      <c r="AL39" s="2012"/>
      <c r="AM39" s="2013"/>
      <c r="AN39" s="2013"/>
      <c r="AO39" s="2014"/>
      <c r="AP39" s="2012"/>
      <c r="AQ39" s="2013"/>
      <c r="AR39" s="2014"/>
      <c r="AS39" s="2015">
        <f t="shared" si="2"/>
        <v>0</v>
      </c>
      <c r="AT39" s="2016"/>
      <c r="AU39" s="2016"/>
      <c r="AV39" s="2016"/>
      <c r="AW39" s="2016"/>
      <c r="AX39" s="2017"/>
      <c r="AY39" s="2018">
        <f t="shared" si="3"/>
        <v>0</v>
      </c>
      <c r="AZ39" s="2019"/>
      <c r="BA39" s="2019"/>
      <c r="BB39" s="2019"/>
      <c r="BC39" s="2019"/>
      <c r="BD39" s="2020"/>
      <c r="BE39" s="1215"/>
    </row>
    <row r="40" spans="1:58" ht="15.75" customHeight="1">
      <c r="A40" s="1208"/>
      <c r="B40" s="2021" t="s">
        <v>2347</v>
      </c>
      <c r="C40" s="2022"/>
      <c r="D40" s="2022"/>
      <c r="E40" s="2022"/>
      <c r="F40" s="2022"/>
      <c r="G40" s="2022"/>
      <c r="H40" s="2022"/>
      <c r="I40" s="2022"/>
      <c r="J40" s="2023"/>
      <c r="K40" s="2023"/>
      <c r="L40" s="2023"/>
      <c r="M40" s="2023"/>
      <c r="N40" s="2023"/>
      <c r="O40" s="2023"/>
      <c r="P40" s="2023"/>
      <c r="Q40" s="2023"/>
      <c r="R40" s="2024"/>
      <c r="S40" s="2024"/>
      <c r="T40" s="2024"/>
      <c r="U40" s="2024"/>
      <c r="V40" s="2024"/>
      <c r="W40" s="2024"/>
      <c r="X40" s="2024"/>
      <c r="Y40" s="2024"/>
      <c r="Z40" s="2024"/>
      <c r="AA40" s="2024"/>
      <c r="AB40" s="2024"/>
      <c r="AC40" s="2024"/>
      <c r="AD40" s="2024"/>
      <c r="AE40" s="2024"/>
      <c r="AF40" s="2024"/>
      <c r="AG40" s="2024"/>
      <c r="AH40" s="2024"/>
      <c r="AI40" s="2024"/>
      <c r="AJ40" s="2024"/>
      <c r="AK40" s="2024"/>
      <c r="AL40" s="2012"/>
      <c r="AM40" s="2013"/>
      <c r="AN40" s="2013"/>
      <c r="AO40" s="2014"/>
      <c r="AP40" s="2012"/>
      <c r="AQ40" s="2013"/>
      <c r="AR40" s="2014"/>
      <c r="AS40" s="2015">
        <f t="shared" si="2"/>
        <v>0</v>
      </c>
      <c r="AT40" s="2016"/>
      <c r="AU40" s="2016"/>
      <c r="AV40" s="2016"/>
      <c r="AW40" s="2016"/>
      <c r="AX40" s="2017"/>
      <c r="AY40" s="2018">
        <f t="shared" si="3"/>
        <v>0</v>
      </c>
      <c r="AZ40" s="2019"/>
      <c r="BA40" s="2019"/>
      <c r="BB40" s="2019"/>
      <c r="BC40" s="2019"/>
      <c r="BD40" s="2020"/>
      <c r="BE40" s="1215"/>
    </row>
    <row r="41" spans="1:58" ht="15.75" customHeight="1">
      <c r="A41" s="1208"/>
      <c r="B41" s="2021" t="s">
        <v>2346</v>
      </c>
      <c r="C41" s="2022"/>
      <c r="D41" s="2022"/>
      <c r="E41" s="2022"/>
      <c r="F41" s="2022"/>
      <c r="G41" s="2022"/>
      <c r="H41" s="2022"/>
      <c r="I41" s="2022"/>
      <c r="J41" s="2023"/>
      <c r="K41" s="2023"/>
      <c r="L41" s="2023"/>
      <c r="M41" s="2023"/>
      <c r="N41" s="2023"/>
      <c r="O41" s="2023"/>
      <c r="P41" s="2023"/>
      <c r="Q41" s="2023"/>
      <c r="R41" s="2024"/>
      <c r="S41" s="2024"/>
      <c r="T41" s="2024"/>
      <c r="U41" s="2024"/>
      <c r="V41" s="2024"/>
      <c r="W41" s="2024"/>
      <c r="X41" s="2024"/>
      <c r="Y41" s="2024"/>
      <c r="Z41" s="2024"/>
      <c r="AA41" s="2024"/>
      <c r="AB41" s="2024"/>
      <c r="AC41" s="2024"/>
      <c r="AD41" s="2024"/>
      <c r="AE41" s="2024"/>
      <c r="AF41" s="2024"/>
      <c r="AG41" s="2024"/>
      <c r="AH41" s="2024"/>
      <c r="AI41" s="2024"/>
      <c r="AJ41" s="2024"/>
      <c r="AK41" s="2024"/>
      <c r="AL41" s="2012"/>
      <c r="AM41" s="2013"/>
      <c r="AN41" s="2013"/>
      <c r="AO41" s="2014"/>
      <c r="AP41" s="2012"/>
      <c r="AQ41" s="2013"/>
      <c r="AR41" s="2014"/>
      <c r="AS41" s="2015">
        <f t="shared" si="2"/>
        <v>0</v>
      </c>
      <c r="AT41" s="2016"/>
      <c r="AU41" s="2016"/>
      <c r="AV41" s="2016"/>
      <c r="AW41" s="2016"/>
      <c r="AX41" s="2017"/>
      <c r="AY41" s="2018">
        <f t="shared" si="3"/>
        <v>0</v>
      </c>
      <c r="AZ41" s="2019"/>
      <c r="BA41" s="2019"/>
      <c r="BB41" s="2019"/>
      <c r="BC41" s="2019"/>
      <c r="BD41" s="2020"/>
      <c r="BE41" s="1215"/>
    </row>
    <row r="42" spans="1:58" ht="15.75" customHeight="1">
      <c r="A42" s="1208"/>
      <c r="B42" s="2021" t="s">
        <v>2346</v>
      </c>
      <c r="C42" s="2022"/>
      <c r="D42" s="2022"/>
      <c r="E42" s="2022"/>
      <c r="F42" s="2022"/>
      <c r="G42" s="2022"/>
      <c r="H42" s="2022"/>
      <c r="I42" s="2022"/>
      <c r="J42" s="2023"/>
      <c r="K42" s="2023"/>
      <c r="L42" s="2023"/>
      <c r="M42" s="2023"/>
      <c r="N42" s="2023"/>
      <c r="O42" s="2023"/>
      <c r="P42" s="2023"/>
      <c r="Q42" s="2023"/>
      <c r="R42" s="2024"/>
      <c r="S42" s="2024"/>
      <c r="T42" s="2024"/>
      <c r="U42" s="2024"/>
      <c r="V42" s="2024"/>
      <c r="W42" s="2024"/>
      <c r="X42" s="2024"/>
      <c r="Y42" s="2024"/>
      <c r="Z42" s="2024"/>
      <c r="AA42" s="2024"/>
      <c r="AB42" s="2024"/>
      <c r="AC42" s="2024"/>
      <c r="AD42" s="2024"/>
      <c r="AE42" s="2024"/>
      <c r="AF42" s="2024"/>
      <c r="AG42" s="2024"/>
      <c r="AH42" s="2024"/>
      <c r="AI42" s="2024"/>
      <c r="AJ42" s="2024"/>
      <c r="AK42" s="2024"/>
      <c r="AL42" s="2012"/>
      <c r="AM42" s="2013"/>
      <c r="AN42" s="2013"/>
      <c r="AO42" s="2014"/>
      <c r="AP42" s="2012"/>
      <c r="AQ42" s="2013"/>
      <c r="AR42" s="2014"/>
      <c r="AS42" s="2015">
        <f t="shared" si="2"/>
        <v>0</v>
      </c>
      <c r="AT42" s="2016"/>
      <c r="AU42" s="2016"/>
      <c r="AV42" s="2016"/>
      <c r="AW42" s="2016"/>
      <c r="AX42" s="2017"/>
      <c r="AY42" s="2018">
        <f t="shared" si="3"/>
        <v>0</v>
      </c>
      <c r="AZ42" s="2019"/>
      <c r="BA42" s="2019"/>
      <c r="BB42" s="2019"/>
      <c r="BC42" s="2019"/>
      <c r="BD42" s="2020"/>
      <c r="BE42" s="1215"/>
    </row>
    <row r="43" spans="1:58" ht="15.75" customHeight="1">
      <c r="A43" s="1208"/>
      <c r="B43" s="2025" t="s">
        <v>2345</v>
      </c>
      <c r="C43" s="2026"/>
      <c r="D43" s="2026"/>
      <c r="E43" s="2026"/>
      <c r="F43" s="2026"/>
      <c r="G43" s="2026"/>
      <c r="H43" s="2026"/>
      <c r="I43" s="2026"/>
      <c r="J43" s="2023"/>
      <c r="K43" s="2023"/>
      <c r="L43" s="2023"/>
      <c r="M43" s="2023"/>
      <c r="N43" s="2023"/>
      <c r="O43" s="2023"/>
      <c r="P43" s="2023"/>
      <c r="Q43" s="2023"/>
      <c r="R43" s="2024"/>
      <c r="S43" s="2024"/>
      <c r="T43" s="2024"/>
      <c r="U43" s="2024"/>
      <c r="V43" s="2024"/>
      <c r="W43" s="2024"/>
      <c r="X43" s="2024"/>
      <c r="Y43" s="2024"/>
      <c r="Z43" s="2024"/>
      <c r="AA43" s="2024"/>
      <c r="AB43" s="2024"/>
      <c r="AC43" s="2024"/>
      <c r="AD43" s="2024"/>
      <c r="AE43" s="2024"/>
      <c r="AF43" s="2024"/>
      <c r="AG43" s="2024"/>
      <c r="AH43" s="2024"/>
      <c r="AI43" s="2024"/>
      <c r="AJ43" s="2024"/>
      <c r="AK43" s="2024"/>
      <c r="AL43" s="2012"/>
      <c r="AM43" s="2013"/>
      <c r="AN43" s="2013"/>
      <c r="AO43" s="2014"/>
      <c r="AP43" s="2012"/>
      <c r="AQ43" s="2013"/>
      <c r="AR43" s="2014"/>
      <c r="AS43" s="2015">
        <f t="shared" si="2"/>
        <v>0</v>
      </c>
      <c r="AT43" s="2016"/>
      <c r="AU43" s="2016"/>
      <c r="AV43" s="2016"/>
      <c r="AW43" s="2016"/>
      <c r="AX43" s="2017"/>
      <c r="AY43" s="2018">
        <f t="shared" si="3"/>
        <v>0</v>
      </c>
      <c r="AZ43" s="2019"/>
      <c r="BA43" s="2019"/>
      <c r="BB43" s="2019"/>
      <c r="BC43" s="2019"/>
      <c r="BD43" s="2020"/>
      <c r="BE43" s="1215"/>
    </row>
    <row r="44" spans="1:58" ht="15.75" customHeight="1">
      <c r="A44" s="1208"/>
      <c r="B44" s="2025" t="s">
        <v>2344</v>
      </c>
      <c r="C44" s="2026"/>
      <c r="D44" s="2026"/>
      <c r="E44" s="2026"/>
      <c r="F44" s="2026"/>
      <c r="G44" s="2026"/>
      <c r="H44" s="2026"/>
      <c r="I44" s="2026"/>
      <c r="J44" s="2023"/>
      <c r="K44" s="2023"/>
      <c r="L44" s="2023"/>
      <c r="M44" s="2023"/>
      <c r="N44" s="2023"/>
      <c r="O44" s="2023"/>
      <c r="P44" s="2023"/>
      <c r="Q44" s="2023"/>
      <c r="R44" s="2024"/>
      <c r="S44" s="2024"/>
      <c r="T44" s="2024"/>
      <c r="U44" s="2024"/>
      <c r="V44" s="2024"/>
      <c r="W44" s="2024"/>
      <c r="X44" s="2024"/>
      <c r="Y44" s="2024"/>
      <c r="Z44" s="2024"/>
      <c r="AA44" s="2024"/>
      <c r="AB44" s="2024"/>
      <c r="AC44" s="2024"/>
      <c r="AD44" s="2024"/>
      <c r="AE44" s="2024"/>
      <c r="AF44" s="2024"/>
      <c r="AG44" s="2024"/>
      <c r="AH44" s="2024"/>
      <c r="AI44" s="2024"/>
      <c r="AJ44" s="2024"/>
      <c r="AK44" s="2024"/>
      <c r="AL44" s="2012"/>
      <c r="AM44" s="2013"/>
      <c r="AN44" s="2013"/>
      <c r="AO44" s="2014"/>
      <c r="AP44" s="2012"/>
      <c r="AQ44" s="2013"/>
      <c r="AR44" s="2014"/>
      <c r="AS44" s="2015">
        <f t="shared" si="2"/>
        <v>0</v>
      </c>
      <c r="AT44" s="2016"/>
      <c r="AU44" s="2016"/>
      <c r="AV44" s="2016"/>
      <c r="AW44" s="2016"/>
      <c r="AX44" s="2017"/>
      <c r="AY44" s="2018">
        <f t="shared" si="3"/>
        <v>0</v>
      </c>
      <c r="AZ44" s="2019"/>
      <c r="BA44" s="2019"/>
      <c r="BB44" s="2019"/>
      <c r="BC44" s="2019"/>
      <c r="BD44" s="2020"/>
      <c r="BE44" s="1215"/>
    </row>
    <row r="45" spans="1:58" ht="15.75" customHeight="1">
      <c r="A45" s="1208"/>
      <c r="B45" s="2025" t="s">
        <v>2343</v>
      </c>
      <c r="C45" s="2026"/>
      <c r="D45" s="2026"/>
      <c r="E45" s="2026"/>
      <c r="F45" s="2026"/>
      <c r="G45" s="2026"/>
      <c r="H45" s="2026"/>
      <c r="I45" s="2026"/>
      <c r="J45" s="2023"/>
      <c r="K45" s="2023"/>
      <c r="L45" s="2023"/>
      <c r="M45" s="2023"/>
      <c r="N45" s="2023"/>
      <c r="O45" s="2023"/>
      <c r="P45" s="2023"/>
      <c r="Q45" s="2023"/>
      <c r="R45" s="2024"/>
      <c r="S45" s="2024"/>
      <c r="T45" s="2024"/>
      <c r="U45" s="2024"/>
      <c r="V45" s="2024"/>
      <c r="W45" s="2024"/>
      <c r="X45" s="2024"/>
      <c r="Y45" s="2024"/>
      <c r="Z45" s="2024"/>
      <c r="AA45" s="2024"/>
      <c r="AB45" s="2024"/>
      <c r="AC45" s="2024"/>
      <c r="AD45" s="2024"/>
      <c r="AE45" s="2024"/>
      <c r="AF45" s="2024"/>
      <c r="AG45" s="2024"/>
      <c r="AH45" s="2024"/>
      <c r="AI45" s="2024"/>
      <c r="AJ45" s="2024"/>
      <c r="AK45" s="2024"/>
      <c r="AL45" s="2012"/>
      <c r="AM45" s="2013"/>
      <c r="AN45" s="2013"/>
      <c r="AO45" s="2014"/>
      <c r="AP45" s="2012"/>
      <c r="AQ45" s="2013"/>
      <c r="AR45" s="2014"/>
      <c r="AS45" s="2015">
        <f t="shared" si="2"/>
        <v>0</v>
      </c>
      <c r="AT45" s="2016"/>
      <c r="AU45" s="2016"/>
      <c r="AV45" s="2016"/>
      <c r="AW45" s="2016"/>
      <c r="AX45" s="2017"/>
      <c r="AY45" s="2018">
        <f t="shared" si="3"/>
        <v>0</v>
      </c>
      <c r="AZ45" s="2019"/>
      <c r="BA45" s="2019"/>
      <c r="BB45" s="2019"/>
      <c r="BC45" s="2019"/>
      <c r="BD45" s="2020"/>
      <c r="BE45" s="1215"/>
    </row>
    <row r="46" spans="1:58" ht="15.75" customHeight="1">
      <c r="A46" s="1208"/>
      <c r="B46" s="2025" t="s">
        <v>2275</v>
      </c>
      <c r="C46" s="2026"/>
      <c r="D46" s="2026"/>
      <c r="E46" s="2026"/>
      <c r="F46" s="2026"/>
      <c r="G46" s="2026"/>
      <c r="H46" s="2026"/>
      <c r="I46" s="2026"/>
      <c r="J46" s="2023"/>
      <c r="K46" s="2023"/>
      <c r="L46" s="2023"/>
      <c r="M46" s="2023"/>
      <c r="N46" s="2023">
        <v>99</v>
      </c>
      <c r="O46" s="2023"/>
      <c r="P46" s="2023"/>
      <c r="Q46" s="2023"/>
      <c r="R46" s="2024"/>
      <c r="S46" s="2024"/>
      <c r="T46" s="2024"/>
      <c r="U46" s="2024"/>
      <c r="V46" s="2024"/>
      <c r="W46" s="2024"/>
      <c r="X46" s="2024"/>
      <c r="Y46" s="2024"/>
      <c r="Z46" s="2024"/>
      <c r="AA46" s="2024"/>
      <c r="AB46" s="2024"/>
      <c r="AC46" s="2024"/>
      <c r="AD46" s="2024"/>
      <c r="AE46" s="2024"/>
      <c r="AF46" s="2024"/>
      <c r="AG46" s="2024"/>
      <c r="AH46" s="2024"/>
      <c r="AI46" s="2024"/>
      <c r="AJ46" s="2024"/>
      <c r="AK46" s="2024"/>
      <c r="AL46" s="2012"/>
      <c r="AM46" s="2013"/>
      <c r="AN46" s="2013"/>
      <c r="AO46" s="2014"/>
      <c r="AP46" s="2012"/>
      <c r="AQ46" s="2013"/>
      <c r="AR46" s="2014"/>
      <c r="AS46" s="2015">
        <f t="shared" si="2"/>
        <v>0</v>
      </c>
      <c r="AT46" s="2016"/>
      <c r="AU46" s="2016"/>
      <c r="AV46" s="2016"/>
      <c r="AW46" s="2016"/>
      <c r="AX46" s="2017"/>
      <c r="AY46" s="2018">
        <f t="shared" si="3"/>
        <v>0</v>
      </c>
      <c r="AZ46" s="2019"/>
      <c r="BA46" s="2019"/>
      <c r="BB46" s="2019"/>
      <c r="BC46" s="2019"/>
      <c r="BD46" s="2020"/>
      <c r="BE46" s="1215"/>
    </row>
    <row r="47" spans="1:58" ht="15.75" customHeight="1" thickBot="1">
      <c r="A47" s="1208"/>
      <c r="B47" s="2027" t="s">
        <v>300</v>
      </c>
      <c r="C47" s="2028"/>
      <c r="D47" s="2028"/>
      <c r="E47" s="2028"/>
      <c r="F47" s="2028"/>
      <c r="G47" s="2028"/>
      <c r="H47" s="2028"/>
      <c r="I47" s="2028"/>
      <c r="J47" s="2029"/>
      <c r="K47" s="2029"/>
      <c r="L47" s="2029"/>
      <c r="M47" s="2029"/>
      <c r="N47" s="2029"/>
      <c r="O47" s="2029"/>
      <c r="P47" s="2029"/>
      <c r="Q47" s="2029"/>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4"/>
      <c r="AM47" s="2035"/>
      <c r="AN47" s="2035"/>
      <c r="AO47" s="2036"/>
      <c r="AP47" s="2034"/>
      <c r="AQ47" s="2035"/>
      <c r="AR47" s="2036"/>
      <c r="AS47" s="2015">
        <f t="shared" si="2"/>
        <v>0</v>
      </c>
      <c r="AT47" s="2016"/>
      <c r="AU47" s="2016"/>
      <c r="AV47" s="2016"/>
      <c r="AW47" s="2016"/>
      <c r="AX47" s="2017"/>
      <c r="AY47" s="2031">
        <f t="shared" si="3"/>
        <v>0</v>
      </c>
      <c r="AZ47" s="2032"/>
      <c r="BA47" s="2032"/>
      <c r="BB47" s="2032"/>
      <c r="BC47" s="2032"/>
      <c r="BD47" s="2033"/>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37" t="s">
        <v>2340</v>
      </c>
      <c r="C50" s="2038"/>
      <c r="D50" s="2038"/>
      <c r="E50" s="2038"/>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c r="AN50" s="2038"/>
      <c r="AO50" s="203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40" t="s">
        <v>2333</v>
      </c>
      <c r="C51" s="2041"/>
      <c r="D51" s="2041"/>
      <c r="E51" s="2041"/>
      <c r="F51" s="2041"/>
      <c r="G51" s="2041"/>
      <c r="H51" s="2041"/>
      <c r="I51" s="2041"/>
      <c r="J51" s="2041" t="s">
        <v>2339</v>
      </c>
      <c r="K51" s="2041"/>
      <c r="L51" s="2041"/>
      <c r="M51" s="2041"/>
      <c r="N51" s="2041"/>
      <c r="O51" s="2041"/>
      <c r="P51" s="2041"/>
      <c r="Q51" s="2041"/>
      <c r="R51" s="2042" t="s">
        <v>2338</v>
      </c>
      <c r="S51" s="2042"/>
      <c r="T51" s="2042"/>
      <c r="U51" s="2042"/>
      <c r="V51" s="2042"/>
      <c r="W51" s="2042"/>
      <c r="X51" s="2042"/>
      <c r="Y51" s="2042"/>
      <c r="Z51" s="2042" t="s">
        <v>2337</v>
      </c>
      <c r="AA51" s="2042"/>
      <c r="AB51" s="2042"/>
      <c r="AC51" s="2042"/>
      <c r="AD51" s="2042"/>
      <c r="AE51" s="2042"/>
      <c r="AF51" s="2042"/>
      <c r="AG51" s="2042"/>
      <c r="AH51" s="2042" t="s">
        <v>2336</v>
      </c>
      <c r="AI51" s="2042"/>
      <c r="AJ51" s="2042"/>
      <c r="AK51" s="2042"/>
      <c r="AL51" s="2042"/>
      <c r="AM51" s="2042"/>
      <c r="AN51" s="2042"/>
      <c r="AO51" s="204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25" t="s">
        <v>2335</v>
      </c>
      <c r="C52" s="2026"/>
      <c r="D52" s="2026"/>
      <c r="E52" s="2026"/>
      <c r="F52" s="2026"/>
      <c r="G52" s="2026"/>
      <c r="H52" s="2026"/>
      <c r="I52" s="2026"/>
      <c r="J52" s="2044">
        <v>0</v>
      </c>
      <c r="K52" s="2044"/>
      <c r="L52" s="2044"/>
      <c r="M52" s="2044"/>
      <c r="N52" s="2044"/>
      <c r="O52" s="2044"/>
      <c r="P52" s="2044"/>
      <c r="Q52" s="2044"/>
      <c r="R52" s="2045">
        <v>0</v>
      </c>
      <c r="S52" s="2045"/>
      <c r="T52" s="2045"/>
      <c r="U52" s="2045"/>
      <c r="V52" s="2045"/>
      <c r="W52" s="2045"/>
      <c r="X52" s="2045"/>
      <c r="Y52" s="2045"/>
      <c r="Z52" s="2046">
        <v>0</v>
      </c>
      <c r="AA52" s="2046"/>
      <c r="AB52" s="2046"/>
      <c r="AC52" s="2046"/>
      <c r="AD52" s="2046"/>
      <c r="AE52" s="2046"/>
      <c r="AF52" s="2046"/>
      <c r="AG52" s="2046"/>
      <c r="AH52" s="2047"/>
      <c r="AI52" s="2047"/>
      <c r="AJ52" s="2047"/>
      <c r="AK52" s="2047"/>
      <c r="AL52" s="2047"/>
      <c r="AM52" s="2047"/>
      <c r="AN52" s="2047"/>
      <c r="AO52" s="204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25" t="s">
        <v>2334</v>
      </c>
      <c r="C53" s="2026"/>
      <c r="D53" s="2026"/>
      <c r="E53" s="2026"/>
      <c r="F53" s="2026"/>
      <c r="G53" s="2026"/>
      <c r="H53" s="2026"/>
      <c r="I53" s="2026"/>
      <c r="J53" s="2044">
        <v>0</v>
      </c>
      <c r="K53" s="2044"/>
      <c r="L53" s="2044"/>
      <c r="M53" s="2044"/>
      <c r="N53" s="2044"/>
      <c r="O53" s="2044"/>
      <c r="P53" s="2044"/>
      <c r="Q53" s="2044"/>
      <c r="R53" s="2045">
        <v>0</v>
      </c>
      <c r="S53" s="2045"/>
      <c r="T53" s="2045"/>
      <c r="U53" s="2045"/>
      <c r="V53" s="2045"/>
      <c r="W53" s="2045"/>
      <c r="X53" s="2045"/>
      <c r="Y53" s="2045"/>
      <c r="Z53" s="2046">
        <v>0</v>
      </c>
      <c r="AA53" s="2046"/>
      <c r="AB53" s="2046"/>
      <c r="AC53" s="2046"/>
      <c r="AD53" s="2046"/>
      <c r="AE53" s="2046"/>
      <c r="AF53" s="2046"/>
      <c r="AG53" s="2046"/>
      <c r="AH53" s="2047"/>
      <c r="AI53" s="2047"/>
      <c r="AJ53" s="2047"/>
      <c r="AK53" s="2047"/>
      <c r="AL53" s="2047"/>
      <c r="AM53" s="2047"/>
      <c r="AN53" s="2047"/>
      <c r="AO53" s="204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25"/>
      <c r="C54" s="2026"/>
      <c r="D54" s="2026"/>
      <c r="E54" s="2026"/>
      <c r="F54" s="2026"/>
      <c r="G54" s="2026"/>
      <c r="H54" s="2026"/>
      <c r="I54" s="2026"/>
      <c r="J54" s="2044"/>
      <c r="K54" s="2044"/>
      <c r="L54" s="2044"/>
      <c r="M54" s="2044"/>
      <c r="N54" s="2044"/>
      <c r="O54" s="2044"/>
      <c r="P54" s="2044"/>
      <c r="Q54" s="2044"/>
      <c r="R54" s="2045"/>
      <c r="S54" s="2045"/>
      <c r="T54" s="2045"/>
      <c r="U54" s="2045"/>
      <c r="V54" s="2045"/>
      <c r="W54" s="2045"/>
      <c r="X54" s="2045"/>
      <c r="Y54" s="2045"/>
      <c r="Z54" s="2046"/>
      <c r="AA54" s="2046"/>
      <c r="AB54" s="2046"/>
      <c r="AC54" s="2046"/>
      <c r="AD54" s="2046"/>
      <c r="AE54" s="2046"/>
      <c r="AF54" s="2046"/>
      <c r="AG54" s="2046"/>
      <c r="AH54" s="2047"/>
      <c r="AI54" s="2047"/>
      <c r="AJ54" s="2047"/>
      <c r="AK54" s="2047"/>
      <c r="AL54" s="2047"/>
      <c r="AM54" s="2047"/>
      <c r="AN54" s="2047"/>
      <c r="AO54" s="204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25"/>
      <c r="C55" s="2026"/>
      <c r="D55" s="2026"/>
      <c r="E55" s="2026"/>
      <c r="F55" s="2026"/>
      <c r="G55" s="2026"/>
      <c r="H55" s="2026"/>
      <c r="I55" s="2026"/>
      <c r="J55" s="2044"/>
      <c r="K55" s="2044"/>
      <c r="L55" s="2044"/>
      <c r="M55" s="2044"/>
      <c r="N55" s="2044"/>
      <c r="O55" s="2044"/>
      <c r="P55" s="2044"/>
      <c r="Q55" s="2044"/>
      <c r="R55" s="2045"/>
      <c r="S55" s="2045"/>
      <c r="T55" s="2045"/>
      <c r="U55" s="2045"/>
      <c r="V55" s="2045"/>
      <c r="W55" s="2045"/>
      <c r="X55" s="2045"/>
      <c r="Y55" s="2045"/>
      <c r="Z55" s="2046"/>
      <c r="AA55" s="2046"/>
      <c r="AB55" s="2046"/>
      <c r="AC55" s="2046"/>
      <c r="AD55" s="2046"/>
      <c r="AE55" s="2046"/>
      <c r="AF55" s="2046"/>
      <c r="AG55" s="2046"/>
      <c r="AH55" s="2047"/>
      <c r="AI55" s="2047"/>
      <c r="AJ55" s="2047"/>
      <c r="AK55" s="2047"/>
      <c r="AL55" s="2047"/>
      <c r="AM55" s="2047"/>
      <c r="AN55" s="2047"/>
      <c r="AO55" s="2048"/>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25"/>
      <c r="C56" s="2026"/>
      <c r="D56" s="2026"/>
      <c r="E56" s="2026"/>
      <c r="F56" s="2026"/>
      <c r="G56" s="2026"/>
      <c r="H56" s="2026"/>
      <c r="I56" s="2026"/>
      <c r="J56" s="2044"/>
      <c r="K56" s="2044"/>
      <c r="L56" s="2044"/>
      <c r="M56" s="2044"/>
      <c r="N56" s="2044"/>
      <c r="O56" s="2044"/>
      <c r="P56" s="2044"/>
      <c r="Q56" s="2044"/>
      <c r="R56" s="2045"/>
      <c r="S56" s="2045"/>
      <c r="T56" s="2045"/>
      <c r="U56" s="2045"/>
      <c r="V56" s="2045"/>
      <c r="W56" s="2045"/>
      <c r="X56" s="2045"/>
      <c r="Y56" s="2045"/>
      <c r="Z56" s="2046"/>
      <c r="AA56" s="2046"/>
      <c r="AB56" s="2046"/>
      <c r="AC56" s="2046"/>
      <c r="AD56" s="2046"/>
      <c r="AE56" s="2046"/>
      <c r="AF56" s="2046"/>
      <c r="AG56" s="2046"/>
      <c r="AH56" s="2047"/>
      <c r="AI56" s="2047"/>
      <c r="AJ56" s="2047"/>
      <c r="AK56" s="2047"/>
      <c r="AL56" s="2047"/>
      <c r="AM56" s="2047"/>
      <c r="AN56" s="2047"/>
      <c r="AO56" s="204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58" t="s">
        <v>1574</v>
      </c>
      <c r="C57" s="2059"/>
      <c r="D57" s="2059"/>
      <c r="E57" s="2059"/>
      <c r="F57" s="2059"/>
      <c r="G57" s="2059"/>
      <c r="H57" s="2059"/>
      <c r="I57" s="2059"/>
      <c r="J57" s="2059"/>
      <c r="K57" s="2059"/>
      <c r="L57" s="2059"/>
      <c r="M57" s="2059"/>
      <c r="N57" s="2059"/>
      <c r="O57" s="2059"/>
      <c r="P57" s="2059"/>
      <c r="Q57" s="2059"/>
      <c r="R57" s="2060">
        <f>SUM(R52:Y56)</f>
        <v>0</v>
      </c>
      <c r="S57" s="2060"/>
      <c r="T57" s="2060"/>
      <c r="U57" s="2060"/>
      <c r="V57" s="2060"/>
      <c r="W57" s="2060"/>
      <c r="X57" s="2060"/>
      <c r="Y57" s="2060"/>
      <c r="Z57" s="2061">
        <f>SUM(Z52:AG56)</f>
        <v>0</v>
      </c>
      <c r="AA57" s="2061"/>
      <c r="AB57" s="2061"/>
      <c r="AC57" s="2061"/>
      <c r="AD57" s="2061"/>
      <c r="AE57" s="2061"/>
      <c r="AF57" s="2061"/>
      <c r="AG57" s="2061"/>
      <c r="AH57" s="2062"/>
      <c r="AI57" s="2062"/>
      <c r="AJ57" s="2062"/>
      <c r="AK57" s="2062"/>
      <c r="AL57" s="2062"/>
      <c r="AM57" s="2062"/>
      <c r="AN57" s="2062"/>
      <c r="AO57" s="206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49" t="s">
        <v>2333</v>
      </c>
      <c r="C59" s="2050"/>
      <c r="D59" s="2050"/>
      <c r="E59" s="2050"/>
      <c r="F59" s="2050"/>
      <c r="G59" s="2050"/>
      <c r="H59" s="2050"/>
      <c r="I59" s="2051"/>
      <c r="J59" s="1943" t="s">
        <v>2332</v>
      </c>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4"/>
      <c r="AX59" s="1208"/>
      <c r="AY59" s="1208"/>
      <c r="AZ59" s="1208"/>
      <c r="BA59" s="1208"/>
      <c r="BB59" s="1208"/>
      <c r="BC59" s="1208"/>
      <c r="BD59" s="1208"/>
      <c r="BE59" s="1215"/>
    </row>
    <row r="60" spans="1:77" ht="15.75" customHeight="1">
      <c r="A60" s="1208"/>
      <c r="B60" s="2052" t="str">
        <f>IF(B52="", "", B52)</f>
        <v>Services Company 1</v>
      </c>
      <c r="C60" s="2053"/>
      <c r="D60" s="2053"/>
      <c r="E60" s="2053"/>
      <c r="F60" s="2053"/>
      <c r="G60" s="2053"/>
      <c r="H60" s="2053"/>
      <c r="I60" s="2054"/>
      <c r="J60" s="2055"/>
      <c r="K60" s="2056"/>
      <c r="L60" s="2056"/>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c r="AR60" s="2056"/>
      <c r="AS60" s="2056"/>
      <c r="AT60" s="2056"/>
      <c r="AU60" s="2056"/>
      <c r="AV60" s="2056"/>
      <c r="AW60" s="2057"/>
      <c r="AX60" s="1208"/>
      <c r="AY60" s="1208"/>
      <c r="AZ60" s="1208"/>
      <c r="BA60" s="1208"/>
      <c r="BB60" s="1208"/>
      <c r="BC60" s="1208"/>
      <c r="BD60" s="1208"/>
      <c r="BE60" s="1215"/>
    </row>
    <row r="61" spans="1:77" ht="15.75" customHeight="1">
      <c r="A61" s="1208"/>
      <c r="B61" s="2052" t="str">
        <f>IF(B53="", "", B53)</f>
        <v>Services Company 2</v>
      </c>
      <c r="C61" s="2053"/>
      <c r="D61" s="2053"/>
      <c r="E61" s="2053"/>
      <c r="F61" s="2053"/>
      <c r="G61" s="2053"/>
      <c r="H61" s="2053"/>
      <c r="I61" s="2054"/>
      <c r="J61" s="2055"/>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7"/>
      <c r="AX61" s="1208"/>
      <c r="AY61" s="1208"/>
      <c r="AZ61" s="1208"/>
      <c r="BA61" s="1208"/>
      <c r="BB61" s="1208"/>
      <c r="BC61" s="1208"/>
      <c r="BD61" s="1208"/>
      <c r="BE61" s="1215"/>
    </row>
    <row r="62" spans="1:77" ht="15.75" customHeight="1">
      <c r="A62" s="1208"/>
      <c r="B62" s="2052" t="str">
        <f>IF(B54="", "", B54)</f>
        <v/>
      </c>
      <c r="C62" s="2053"/>
      <c r="D62" s="2053"/>
      <c r="E62" s="2053"/>
      <c r="F62" s="2053"/>
      <c r="G62" s="2053"/>
      <c r="H62" s="2053"/>
      <c r="I62" s="2054"/>
      <c r="J62" s="2055"/>
      <c r="K62" s="2056"/>
      <c r="L62" s="2056"/>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c r="AR62" s="2056"/>
      <c r="AS62" s="2056"/>
      <c r="AT62" s="2056"/>
      <c r="AU62" s="2056"/>
      <c r="AV62" s="2056"/>
      <c r="AW62" s="2057"/>
      <c r="AX62" s="1208"/>
      <c r="AY62" s="1208"/>
      <c r="AZ62" s="1208"/>
      <c r="BA62" s="1208"/>
      <c r="BB62" s="1208"/>
      <c r="BC62" s="1208"/>
      <c r="BD62" s="1208"/>
      <c r="BE62" s="1215"/>
    </row>
    <row r="63" spans="1:77" ht="15.75" customHeight="1">
      <c r="A63" s="1208"/>
      <c r="B63" s="2052" t="str">
        <f>IF(B55="", "", B55)</f>
        <v/>
      </c>
      <c r="C63" s="2053"/>
      <c r="D63" s="2053"/>
      <c r="E63" s="2053"/>
      <c r="F63" s="2053"/>
      <c r="G63" s="2053"/>
      <c r="H63" s="2053"/>
      <c r="I63" s="2054"/>
      <c r="J63" s="2055"/>
      <c r="K63" s="2056"/>
      <c r="L63" s="2056"/>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c r="AR63" s="2056"/>
      <c r="AS63" s="2056"/>
      <c r="AT63" s="2056"/>
      <c r="AU63" s="2056"/>
      <c r="AV63" s="2056"/>
      <c r="AW63" s="2057"/>
      <c r="AX63" s="1208"/>
      <c r="AY63" s="1208"/>
      <c r="AZ63" s="1208"/>
      <c r="BA63" s="1208"/>
      <c r="BB63" s="1208"/>
      <c r="BC63" s="1208"/>
      <c r="BD63" s="1208"/>
      <c r="BE63" s="1215"/>
    </row>
    <row r="64" spans="1:77" ht="15.75" customHeight="1" thickBot="1">
      <c r="A64" s="1208"/>
      <c r="B64" s="2072" t="str">
        <f>IF(B56="", "", B56)</f>
        <v/>
      </c>
      <c r="C64" s="2073"/>
      <c r="D64" s="2073"/>
      <c r="E64" s="2073"/>
      <c r="F64" s="2073"/>
      <c r="G64" s="2073"/>
      <c r="H64" s="2073"/>
      <c r="I64" s="2074"/>
      <c r="J64" s="2075"/>
      <c r="K64" s="2076"/>
      <c r="L64" s="2076"/>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6"/>
      <c r="AK64" s="2076"/>
      <c r="AL64" s="2076"/>
      <c r="AM64" s="2076"/>
      <c r="AN64" s="2076"/>
      <c r="AO64" s="2076"/>
      <c r="AP64" s="2076"/>
      <c r="AQ64" s="2076"/>
      <c r="AR64" s="2076"/>
      <c r="AS64" s="2076"/>
      <c r="AT64" s="2076"/>
      <c r="AU64" s="2076"/>
      <c r="AV64" s="2076"/>
      <c r="AW64" s="2077"/>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42" t="s">
        <v>2330</v>
      </c>
      <c r="C68" s="1943"/>
      <c r="D68" s="1943"/>
      <c r="E68" s="1943"/>
      <c r="F68" s="1943"/>
      <c r="G68" s="1943"/>
      <c r="H68" s="1943"/>
      <c r="I68" s="1943"/>
      <c r="J68" s="1943"/>
      <c r="K68" s="1943"/>
      <c r="L68" s="1943"/>
      <c r="M68" s="1943"/>
      <c r="N68" s="1943"/>
      <c r="O68" s="1943"/>
      <c r="P68" s="1943"/>
      <c r="Q68" s="1943"/>
      <c r="R68" s="1943"/>
      <c r="S68" s="1943"/>
      <c r="T68" s="1943"/>
      <c r="U68" s="1943"/>
      <c r="V68" s="1943"/>
      <c r="W68" s="1943"/>
      <c r="X68" s="1943"/>
      <c r="Y68" s="1943"/>
      <c r="Z68" s="1943"/>
      <c r="AA68" s="1944"/>
      <c r="AB68" s="1208"/>
      <c r="AC68" s="2084" t="s">
        <v>2329</v>
      </c>
      <c r="AD68" s="2085"/>
      <c r="AE68" s="2085"/>
      <c r="AF68" s="2085"/>
      <c r="AG68" s="2085"/>
      <c r="AH68" s="2085"/>
      <c r="AI68" s="2085"/>
      <c r="AJ68" s="2085"/>
      <c r="AK68" s="2085"/>
      <c r="AL68" s="2085"/>
      <c r="AM68" s="2085"/>
      <c r="AN68" s="2085"/>
      <c r="AO68" s="2085"/>
      <c r="AP68" s="2085"/>
      <c r="AQ68" s="2085"/>
      <c r="AR68" s="2085"/>
      <c r="AS68" s="2085"/>
      <c r="AT68" s="2085"/>
      <c r="AU68" s="2085"/>
      <c r="AV68" s="2064" t="s">
        <v>669</v>
      </c>
      <c r="AW68" s="2065"/>
      <c r="AX68" s="2065"/>
      <c r="AY68" s="2065"/>
      <c r="AZ68" s="2065"/>
      <c r="BA68" s="2065"/>
      <c r="BB68" s="2065"/>
      <c r="BC68" s="2066"/>
      <c r="BD68" s="1208"/>
      <c r="BE68" s="1215"/>
      <c r="BM68" s="1221" t="s">
        <v>2328</v>
      </c>
    </row>
    <row r="69" spans="1:94" ht="15.75" customHeight="1" thickTop="1" thickBot="1">
      <c r="A69" s="1208"/>
      <c r="B69" s="2067" t="s">
        <v>2327</v>
      </c>
      <c r="C69" s="2068"/>
      <c r="D69" s="2068"/>
      <c r="E69" s="2068"/>
      <c r="F69" s="2068"/>
      <c r="G69" s="2068"/>
      <c r="H69" s="2068"/>
      <c r="I69" s="2068"/>
      <c r="J69" s="2068"/>
      <c r="K69" s="2068"/>
      <c r="L69" s="2068"/>
      <c r="M69" s="2068"/>
      <c r="N69" s="2068"/>
      <c r="O69" s="1915" t="s">
        <v>2326</v>
      </c>
      <c r="P69" s="1916"/>
      <c r="Q69" s="1916"/>
      <c r="R69" s="1916"/>
      <c r="S69" s="1916"/>
      <c r="T69" s="1916"/>
      <c r="U69" s="1916"/>
      <c r="V69" s="1916"/>
      <c r="W69" s="1916"/>
      <c r="X69" s="1916"/>
      <c r="Y69" s="1916"/>
      <c r="Z69" s="1916"/>
      <c r="AA69" s="2069"/>
      <c r="AB69" s="1208"/>
      <c r="AC69" s="2070" t="s">
        <v>2325</v>
      </c>
      <c r="AD69" s="2071"/>
      <c r="AE69" s="2071"/>
      <c r="AF69" s="2071"/>
      <c r="AG69" s="2071"/>
      <c r="AH69" s="2071"/>
      <c r="AI69" s="2071"/>
      <c r="AJ69" s="2071"/>
      <c r="AK69" s="2071"/>
      <c r="AL69" s="2071"/>
      <c r="AM69" s="2071"/>
      <c r="AN69" s="2071"/>
      <c r="AO69" s="2071"/>
      <c r="AP69" s="2071"/>
      <c r="AQ69" s="2071"/>
      <c r="AR69" s="2071"/>
      <c r="AS69" s="2071"/>
      <c r="AT69" s="2071"/>
      <c r="AU69" s="2071"/>
      <c r="AV69" s="2064" t="s">
        <v>669</v>
      </c>
      <c r="AW69" s="2065"/>
      <c r="AX69" s="2065"/>
      <c r="AY69" s="2065"/>
      <c r="AZ69" s="2065"/>
      <c r="BA69" s="2065"/>
      <c r="BB69" s="2065"/>
      <c r="BC69" s="2066"/>
      <c r="BD69" s="1208"/>
      <c r="BE69" s="1215"/>
      <c r="BM69" s="1222" t="s">
        <v>545</v>
      </c>
    </row>
    <row r="70" spans="1:94" ht="15.75" customHeight="1">
      <c r="A70" s="1208"/>
      <c r="B70" s="2021" t="s">
        <v>2324</v>
      </c>
      <c r="C70" s="2022"/>
      <c r="D70" s="2022"/>
      <c r="E70" s="2022"/>
      <c r="F70" s="2022"/>
      <c r="G70" s="2022"/>
      <c r="H70" s="2022"/>
      <c r="I70" s="2022"/>
      <c r="J70" s="2022"/>
      <c r="K70" s="2022"/>
      <c r="L70" s="2022"/>
      <c r="M70" s="2022"/>
      <c r="N70" s="2022"/>
      <c r="O70" s="2078">
        <v>0</v>
      </c>
      <c r="P70" s="2078"/>
      <c r="Q70" s="2078"/>
      <c r="R70" s="2078"/>
      <c r="S70" s="2078"/>
      <c r="T70" s="2078"/>
      <c r="U70" s="2078"/>
      <c r="V70" s="2078"/>
      <c r="W70" s="2078"/>
      <c r="X70" s="2078"/>
      <c r="Y70" s="2078"/>
      <c r="Z70" s="2078"/>
      <c r="AA70" s="2079"/>
      <c r="AB70" s="1208"/>
      <c r="AC70" s="2037" t="s">
        <v>2323</v>
      </c>
      <c r="AD70" s="2038"/>
      <c r="AE70" s="2038"/>
      <c r="AF70" s="2080"/>
      <c r="AG70" s="2080"/>
      <c r="AH70" s="2080"/>
      <c r="AI70" s="2080"/>
      <c r="AJ70" s="2080"/>
      <c r="AK70" s="2080"/>
      <c r="AL70" s="2080"/>
      <c r="AM70" s="2080"/>
      <c r="AN70" s="2080"/>
      <c r="AO70" s="2080"/>
      <c r="AP70" s="2080"/>
      <c r="AQ70" s="2080"/>
      <c r="AR70" s="2080"/>
      <c r="AS70" s="2080"/>
      <c r="AT70" s="2080"/>
      <c r="AU70" s="2081"/>
      <c r="AV70" s="1208"/>
      <c r="AW70" s="1208"/>
      <c r="AX70" s="1208"/>
      <c r="AY70" s="1208"/>
      <c r="AZ70" s="1208"/>
      <c r="BA70" s="1208"/>
      <c r="BB70" s="1208"/>
      <c r="BC70" s="1208"/>
      <c r="BD70" s="1208"/>
      <c r="BE70" s="1215"/>
      <c r="BM70" s="1223" t="s">
        <v>669</v>
      </c>
    </row>
    <row r="71" spans="1:94" ht="15.75" customHeight="1" thickBot="1">
      <c r="A71" s="1208"/>
      <c r="B71" s="2021" t="s">
        <v>2322</v>
      </c>
      <c r="C71" s="2022"/>
      <c r="D71" s="2022"/>
      <c r="E71" s="2022"/>
      <c r="F71" s="2022"/>
      <c r="G71" s="2022"/>
      <c r="H71" s="2022"/>
      <c r="I71" s="2022"/>
      <c r="J71" s="2022"/>
      <c r="K71" s="2022"/>
      <c r="L71" s="2022"/>
      <c r="M71" s="2022"/>
      <c r="N71" s="2022"/>
      <c r="O71" s="2078">
        <v>0</v>
      </c>
      <c r="P71" s="2078"/>
      <c r="Q71" s="2078"/>
      <c r="R71" s="2078"/>
      <c r="S71" s="2078"/>
      <c r="T71" s="2078"/>
      <c r="U71" s="2078"/>
      <c r="V71" s="2078"/>
      <c r="W71" s="2078"/>
      <c r="X71" s="2078"/>
      <c r="Y71" s="2078"/>
      <c r="Z71" s="2078"/>
      <c r="AA71" s="2079"/>
      <c r="AB71" s="1208"/>
      <c r="AC71" s="2082" t="s">
        <v>2321</v>
      </c>
      <c r="AD71" s="2083"/>
      <c r="AE71" s="2083"/>
      <c r="AF71" s="2076"/>
      <c r="AG71" s="2076"/>
      <c r="AH71" s="2076"/>
      <c r="AI71" s="2076"/>
      <c r="AJ71" s="2076"/>
      <c r="AK71" s="2076"/>
      <c r="AL71" s="2076"/>
      <c r="AM71" s="2076"/>
      <c r="AN71" s="2076"/>
      <c r="AO71" s="2076"/>
      <c r="AP71" s="2076"/>
      <c r="AQ71" s="2076"/>
      <c r="AR71" s="2076"/>
      <c r="AS71" s="2076"/>
      <c r="AT71" s="2076"/>
      <c r="AU71" s="2077"/>
      <c r="AV71" s="1208"/>
      <c r="AW71" s="1208"/>
      <c r="AX71" s="1208"/>
      <c r="AY71" s="1208"/>
      <c r="AZ71" s="1208"/>
      <c r="BA71" s="1208"/>
      <c r="BB71" s="1208"/>
      <c r="BC71" s="1208"/>
      <c r="BD71" s="1208"/>
      <c r="BE71" s="1215"/>
      <c r="BM71" s="1204" t="s">
        <v>2320</v>
      </c>
    </row>
    <row r="72" spans="1:94" ht="15.75" customHeight="1">
      <c r="A72" s="1208"/>
      <c r="B72" s="2021" t="s">
        <v>2319</v>
      </c>
      <c r="C72" s="2022"/>
      <c r="D72" s="2022"/>
      <c r="E72" s="2022"/>
      <c r="F72" s="2022"/>
      <c r="G72" s="2022"/>
      <c r="H72" s="2022"/>
      <c r="I72" s="2022"/>
      <c r="J72" s="2022"/>
      <c r="K72" s="2022"/>
      <c r="L72" s="2022"/>
      <c r="M72" s="2022"/>
      <c r="N72" s="2022"/>
      <c r="O72" s="2078">
        <v>0</v>
      </c>
      <c r="P72" s="2078"/>
      <c r="Q72" s="2078"/>
      <c r="R72" s="2078"/>
      <c r="S72" s="2078"/>
      <c r="T72" s="2078"/>
      <c r="U72" s="2078"/>
      <c r="V72" s="2078"/>
      <c r="W72" s="2078"/>
      <c r="X72" s="2078"/>
      <c r="Y72" s="2078"/>
      <c r="Z72" s="2078"/>
      <c r="AA72" s="2079"/>
      <c r="AB72" s="1208"/>
      <c r="AC72" s="2086" t="s">
        <v>2318</v>
      </c>
      <c r="AD72" s="2087"/>
      <c r="AE72" s="2087"/>
      <c r="AF72" s="2087"/>
      <c r="AG72" s="2087"/>
      <c r="AH72" s="2087"/>
      <c r="AI72" s="2087"/>
      <c r="AJ72" s="2087"/>
      <c r="AK72" s="2087"/>
      <c r="AL72" s="2087"/>
      <c r="AM72" s="2087"/>
      <c r="AN72" s="2087"/>
      <c r="AO72" s="2087"/>
      <c r="AP72" s="2087"/>
      <c r="AQ72" s="2087"/>
      <c r="AR72" s="2087"/>
      <c r="AS72" s="2087"/>
      <c r="AT72" s="2087"/>
      <c r="AU72" s="2087"/>
      <c r="AV72" s="2038"/>
      <c r="AW72" s="2038"/>
      <c r="AX72" s="2038"/>
      <c r="AY72" s="2038"/>
      <c r="AZ72" s="2038"/>
      <c r="BA72" s="2038"/>
      <c r="BB72" s="2038"/>
      <c r="BC72" s="2039"/>
      <c r="BD72" s="1208"/>
      <c r="BE72" s="1215"/>
    </row>
    <row r="73" spans="1:94" ht="15.75" customHeight="1">
      <c r="A73" s="1208"/>
      <c r="B73" s="2025" t="s">
        <v>2317</v>
      </c>
      <c r="C73" s="2026"/>
      <c r="D73" s="2026"/>
      <c r="E73" s="2026"/>
      <c r="F73" s="2026"/>
      <c r="G73" s="2026"/>
      <c r="H73" s="2026"/>
      <c r="I73" s="2026"/>
      <c r="J73" s="2026"/>
      <c r="K73" s="2026"/>
      <c r="L73" s="2026"/>
      <c r="M73" s="2026"/>
      <c r="N73" s="2026"/>
      <c r="O73" s="2078">
        <v>0</v>
      </c>
      <c r="P73" s="2078"/>
      <c r="Q73" s="2078"/>
      <c r="R73" s="2078"/>
      <c r="S73" s="2078"/>
      <c r="T73" s="2078"/>
      <c r="U73" s="2078"/>
      <c r="V73" s="2078"/>
      <c r="W73" s="2078"/>
      <c r="X73" s="2078"/>
      <c r="Y73" s="2078"/>
      <c r="Z73" s="2078"/>
      <c r="AA73" s="2079"/>
      <c r="AB73" s="1208"/>
      <c r="AC73" s="2088" t="s">
        <v>2270</v>
      </c>
      <c r="AD73" s="2089"/>
      <c r="AE73" s="2089"/>
      <c r="AF73" s="2089"/>
      <c r="AG73" s="2089"/>
      <c r="AH73" s="2089"/>
      <c r="AI73" s="2089"/>
      <c r="AJ73" s="2089"/>
      <c r="AK73" s="2089"/>
      <c r="AL73" s="2089"/>
      <c r="AM73" s="2089"/>
      <c r="AN73" s="2089"/>
      <c r="AO73" s="2089"/>
      <c r="AP73" s="2089"/>
      <c r="AQ73" s="2089"/>
      <c r="AR73" s="2089"/>
      <c r="AS73" s="2089"/>
      <c r="AT73" s="2089"/>
      <c r="AU73" s="2089"/>
      <c r="AV73" s="2089"/>
      <c r="AW73" s="2089"/>
      <c r="AX73" s="2089"/>
      <c r="AY73" s="2089"/>
      <c r="AZ73" s="2089"/>
      <c r="BA73" s="2089"/>
      <c r="BB73" s="2089"/>
      <c r="BC73" s="2090"/>
      <c r="BD73" s="1208"/>
      <c r="BE73" s="1215"/>
      <c r="CK73" s="1206"/>
      <c r="CL73" s="1206"/>
      <c r="CM73" s="1206"/>
      <c r="CN73" s="1206"/>
      <c r="CO73" s="1206"/>
      <c r="CP73" s="1206"/>
    </row>
    <row r="74" spans="1:94" ht="15.75" customHeight="1">
      <c r="A74" s="1208"/>
      <c r="B74" s="2094"/>
      <c r="C74" s="2044"/>
      <c r="D74" s="2044"/>
      <c r="E74" s="2044"/>
      <c r="F74" s="2044"/>
      <c r="G74" s="2044"/>
      <c r="H74" s="2044"/>
      <c r="I74" s="2044"/>
      <c r="J74" s="2044"/>
      <c r="K74" s="2044"/>
      <c r="L74" s="2044"/>
      <c r="M74" s="2044"/>
      <c r="N74" s="2044"/>
      <c r="O74" s="2078"/>
      <c r="P74" s="2078"/>
      <c r="Q74" s="2078"/>
      <c r="R74" s="2078"/>
      <c r="S74" s="2078"/>
      <c r="T74" s="2078"/>
      <c r="U74" s="2078"/>
      <c r="V74" s="2078"/>
      <c r="W74" s="2078"/>
      <c r="X74" s="2078"/>
      <c r="Y74" s="2078"/>
      <c r="Z74" s="2078"/>
      <c r="AA74" s="2079"/>
      <c r="AB74" s="1208"/>
      <c r="AC74" s="2088"/>
      <c r="AD74" s="2089"/>
      <c r="AE74" s="2089"/>
      <c r="AF74" s="2089"/>
      <c r="AG74" s="2089"/>
      <c r="AH74" s="2089"/>
      <c r="AI74" s="2089"/>
      <c r="AJ74" s="2089"/>
      <c r="AK74" s="2089"/>
      <c r="AL74" s="2089"/>
      <c r="AM74" s="2089"/>
      <c r="AN74" s="2089"/>
      <c r="AO74" s="2089"/>
      <c r="AP74" s="2089"/>
      <c r="AQ74" s="2089"/>
      <c r="AR74" s="2089"/>
      <c r="AS74" s="2089"/>
      <c r="AT74" s="2089"/>
      <c r="AU74" s="2089"/>
      <c r="AV74" s="2089"/>
      <c r="AW74" s="2089"/>
      <c r="AX74" s="2089"/>
      <c r="AY74" s="2089"/>
      <c r="AZ74" s="2089"/>
      <c r="BA74" s="2089"/>
      <c r="BB74" s="2089"/>
      <c r="BC74" s="2090"/>
      <c r="BD74" s="1208"/>
      <c r="BE74" s="1215"/>
      <c r="CK74" s="1206"/>
      <c r="CL74" s="1206"/>
      <c r="CM74" s="1206"/>
      <c r="CN74" s="1206"/>
      <c r="CO74" s="1206"/>
      <c r="CP74" s="1206"/>
    </row>
    <row r="75" spans="1:94" ht="15.75" customHeight="1" thickBot="1">
      <c r="A75" s="1208"/>
      <c r="B75" s="2095" t="s">
        <v>124</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208"/>
      <c r="AC75" s="2088"/>
      <c r="AD75" s="2089"/>
      <c r="AE75" s="2089"/>
      <c r="AF75" s="2089"/>
      <c r="AG75" s="2089"/>
      <c r="AH75" s="2089"/>
      <c r="AI75" s="2089"/>
      <c r="AJ75" s="2089"/>
      <c r="AK75" s="2089"/>
      <c r="AL75" s="2089"/>
      <c r="AM75" s="2089"/>
      <c r="AN75" s="2089"/>
      <c r="AO75" s="2089"/>
      <c r="AP75" s="2089"/>
      <c r="AQ75" s="2089"/>
      <c r="AR75" s="2089"/>
      <c r="AS75" s="2089"/>
      <c r="AT75" s="2089"/>
      <c r="AU75" s="2089"/>
      <c r="AV75" s="2089"/>
      <c r="AW75" s="2089"/>
      <c r="AX75" s="2089"/>
      <c r="AY75" s="2089"/>
      <c r="AZ75" s="2089"/>
      <c r="BA75" s="2089"/>
      <c r="BB75" s="2089"/>
      <c r="BC75" s="209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88"/>
      <c r="AD76" s="2089"/>
      <c r="AE76" s="2089"/>
      <c r="AF76" s="2089"/>
      <c r="AG76" s="2089"/>
      <c r="AH76" s="2089"/>
      <c r="AI76" s="2089"/>
      <c r="AJ76" s="2089"/>
      <c r="AK76" s="2089"/>
      <c r="AL76" s="2089"/>
      <c r="AM76" s="2089"/>
      <c r="AN76" s="2089"/>
      <c r="AO76" s="2089"/>
      <c r="AP76" s="2089"/>
      <c r="AQ76" s="2089"/>
      <c r="AR76" s="2089"/>
      <c r="AS76" s="2089"/>
      <c r="AT76" s="2089"/>
      <c r="AU76" s="2089"/>
      <c r="AV76" s="2089"/>
      <c r="AW76" s="2089"/>
      <c r="AX76" s="2089"/>
      <c r="AY76" s="2089"/>
      <c r="AZ76" s="2089"/>
      <c r="BA76" s="2089"/>
      <c r="BB76" s="2089"/>
      <c r="BC76" s="209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91"/>
      <c r="AD77" s="2092"/>
      <c r="AE77" s="2092"/>
      <c r="AF77" s="2092"/>
      <c r="AG77" s="2092"/>
      <c r="AH77" s="2092"/>
      <c r="AI77" s="2092"/>
      <c r="AJ77" s="2092"/>
      <c r="AK77" s="2092"/>
      <c r="AL77" s="2092"/>
      <c r="AM77" s="2092"/>
      <c r="AN77" s="2092"/>
      <c r="AO77" s="2092"/>
      <c r="AP77" s="2092"/>
      <c r="AQ77" s="2092"/>
      <c r="AR77" s="2092"/>
      <c r="AS77" s="2092"/>
      <c r="AT77" s="2092"/>
      <c r="AU77" s="2092"/>
      <c r="AV77" s="2092"/>
      <c r="AW77" s="2092"/>
      <c r="AX77" s="2092"/>
      <c r="AY77" s="2092"/>
      <c r="AZ77" s="2092"/>
      <c r="BA77" s="2092"/>
      <c r="BB77" s="2092"/>
      <c r="BC77" s="2093"/>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99"/>
      <c r="G79" s="2100"/>
      <c r="H79" s="2100"/>
      <c r="I79" s="2100"/>
      <c r="J79" s="2100"/>
      <c r="K79" s="2100"/>
      <c r="L79" s="2100"/>
      <c r="M79" s="2100"/>
      <c r="N79" s="2100"/>
      <c r="O79" s="2100"/>
      <c r="P79" s="2100"/>
      <c r="Q79" s="2100"/>
      <c r="R79" s="2100"/>
      <c r="S79" s="2100"/>
      <c r="T79" s="210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02" t="s">
        <v>2315</v>
      </c>
      <c r="C81" s="2103"/>
      <c r="D81" s="2103"/>
      <c r="E81" s="2103"/>
      <c r="F81" s="2103"/>
      <c r="G81" s="2103"/>
      <c r="H81" s="2103"/>
      <c r="I81" s="2103"/>
      <c r="J81" s="2103"/>
      <c r="K81" s="2103"/>
      <c r="L81" s="2103"/>
      <c r="M81" s="2103"/>
      <c r="N81" s="2103"/>
      <c r="O81" s="2103"/>
      <c r="P81" s="2103"/>
      <c r="Q81" s="2103"/>
      <c r="R81" s="2103"/>
      <c r="S81" s="2103"/>
      <c r="T81" s="2103"/>
      <c r="U81" s="2103"/>
      <c r="V81" s="2103"/>
      <c r="W81" s="2103"/>
      <c r="X81" s="2103"/>
      <c r="Y81" s="2103"/>
      <c r="Z81" s="2103"/>
      <c r="AA81" s="2103"/>
      <c r="AB81" s="2103"/>
      <c r="AC81" s="2103"/>
      <c r="AD81" s="2103"/>
      <c r="AE81" s="2103"/>
      <c r="AF81" s="2103"/>
      <c r="AG81" s="2103"/>
      <c r="AH81" s="2104"/>
      <c r="AI81" s="1208"/>
      <c r="AJ81" s="2105" t="s">
        <v>2617</v>
      </c>
      <c r="AK81" s="2106"/>
      <c r="AL81" s="2106"/>
      <c r="AM81" s="2106"/>
      <c r="AN81" s="2106"/>
      <c r="AO81" s="2106"/>
      <c r="AP81" s="2106"/>
      <c r="AQ81" s="2106"/>
      <c r="AR81" s="2106"/>
      <c r="AS81" s="2106"/>
      <c r="AT81" s="2106"/>
      <c r="AU81" s="2106"/>
      <c r="AV81" s="2106"/>
      <c r="AW81" s="2106"/>
      <c r="AX81" s="2106"/>
      <c r="AY81" s="2109" t="s">
        <v>545</v>
      </c>
      <c r="AZ81" s="2109"/>
      <c r="BA81" s="2109"/>
      <c r="BB81" s="2110"/>
      <c r="BC81" s="1208"/>
      <c r="BD81" s="1208"/>
      <c r="BE81" s="1215"/>
      <c r="CK81" s="1206"/>
      <c r="CL81" s="1206"/>
      <c r="CM81" s="1206"/>
      <c r="CN81" s="1206"/>
      <c r="CO81" s="1206"/>
      <c r="CP81" s="1206"/>
    </row>
    <row r="82" spans="1:94" ht="15.75" customHeight="1">
      <c r="A82" s="1208"/>
      <c r="B82" s="2040"/>
      <c r="C82" s="2041"/>
      <c r="D82" s="2041"/>
      <c r="E82" s="2041"/>
      <c r="F82" s="2041"/>
      <c r="G82" s="2041"/>
      <c r="H82" s="2041"/>
      <c r="I82" s="2041" t="s">
        <v>2309</v>
      </c>
      <c r="J82" s="2041"/>
      <c r="K82" s="2041"/>
      <c r="L82" s="2041"/>
      <c r="M82" s="2041"/>
      <c r="N82" s="2041"/>
      <c r="O82" s="2041" t="s">
        <v>2286</v>
      </c>
      <c r="P82" s="2041"/>
      <c r="Q82" s="2041"/>
      <c r="R82" s="2041"/>
      <c r="S82" s="2041"/>
      <c r="T82" s="2041"/>
      <c r="U82" s="2041"/>
      <c r="V82" s="2113" t="s">
        <v>2285</v>
      </c>
      <c r="W82" s="2113"/>
      <c r="X82" s="2113"/>
      <c r="Y82" s="2113"/>
      <c r="Z82" s="2113"/>
      <c r="AA82" s="2113"/>
      <c r="AB82" s="2114" t="s">
        <v>2308</v>
      </c>
      <c r="AC82" s="2114"/>
      <c r="AD82" s="2114"/>
      <c r="AE82" s="2114"/>
      <c r="AF82" s="2114"/>
      <c r="AG82" s="2114"/>
      <c r="AH82" s="2115"/>
      <c r="AI82" s="1208"/>
      <c r="AJ82" s="2107"/>
      <c r="AK82" s="2108"/>
      <c r="AL82" s="2108"/>
      <c r="AM82" s="2108"/>
      <c r="AN82" s="2108"/>
      <c r="AO82" s="2108"/>
      <c r="AP82" s="2108"/>
      <c r="AQ82" s="2108"/>
      <c r="AR82" s="2108"/>
      <c r="AS82" s="2108"/>
      <c r="AT82" s="2108"/>
      <c r="AU82" s="2108"/>
      <c r="AV82" s="2108"/>
      <c r="AW82" s="2108"/>
      <c r="AX82" s="2108"/>
      <c r="AY82" s="2111"/>
      <c r="AZ82" s="2111"/>
      <c r="BA82" s="2111"/>
      <c r="BB82" s="2112"/>
      <c r="BC82" s="1208"/>
      <c r="BD82" s="1208"/>
      <c r="BE82" s="1215"/>
      <c r="CK82" s="1206"/>
      <c r="CL82" s="1206"/>
      <c r="CM82" s="1206"/>
      <c r="CN82" s="1206"/>
      <c r="CO82" s="1206"/>
      <c r="CP82" s="1206"/>
    </row>
    <row r="83" spans="1:94" ht="15.75" customHeight="1">
      <c r="A83" s="1208"/>
      <c r="B83" s="2040"/>
      <c r="C83" s="2041"/>
      <c r="D83" s="2041"/>
      <c r="E83" s="2041"/>
      <c r="F83" s="2041"/>
      <c r="G83" s="2041"/>
      <c r="H83" s="2041"/>
      <c r="I83" s="2041"/>
      <c r="J83" s="2041"/>
      <c r="K83" s="2041"/>
      <c r="L83" s="2041"/>
      <c r="M83" s="2041"/>
      <c r="N83" s="2041"/>
      <c r="O83" s="2041"/>
      <c r="P83" s="2041"/>
      <c r="Q83" s="2041"/>
      <c r="R83" s="2041"/>
      <c r="S83" s="2041"/>
      <c r="T83" s="2041"/>
      <c r="U83" s="2041"/>
      <c r="V83" s="2113"/>
      <c r="W83" s="2113"/>
      <c r="X83" s="2113"/>
      <c r="Y83" s="2113"/>
      <c r="Z83" s="2113"/>
      <c r="AA83" s="2113"/>
      <c r="AB83" s="2114"/>
      <c r="AC83" s="2114"/>
      <c r="AD83" s="2114"/>
      <c r="AE83" s="2114"/>
      <c r="AF83" s="2114"/>
      <c r="AG83" s="2114"/>
      <c r="AH83" s="2115"/>
      <c r="AI83" s="1208"/>
      <c r="AJ83" s="2107"/>
      <c r="AK83" s="2108"/>
      <c r="AL83" s="2108"/>
      <c r="AM83" s="2108"/>
      <c r="AN83" s="2108"/>
      <c r="AO83" s="2108"/>
      <c r="AP83" s="2108"/>
      <c r="AQ83" s="2108"/>
      <c r="AR83" s="2108"/>
      <c r="AS83" s="2108"/>
      <c r="AT83" s="2108"/>
      <c r="AU83" s="2108"/>
      <c r="AV83" s="2108"/>
      <c r="AW83" s="2108"/>
      <c r="AX83" s="2108"/>
      <c r="AY83" s="2111"/>
      <c r="AZ83" s="2111"/>
      <c r="BA83" s="2111"/>
      <c r="BB83" s="2112"/>
      <c r="BC83" s="1208"/>
      <c r="BD83" s="1208"/>
      <c r="BE83" s="1215"/>
      <c r="CK83" s="1206"/>
      <c r="CL83" s="1206"/>
      <c r="CM83" s="1206"/>
      <c r="CN83" s="1206"/>
      <c r="CO83" s="1206"/>
      <c r="CP83" s="1206"/>
    </row>
    <row r="84" spans="1:94" ht="15.75" customHeight="1">
      <c r="A84" s="1208"/>
      <c r="B84" s="2040" t="s">
        <v>2307</v>
      </c>
      <c r="C84" s="2041"/>
      <c r="D84" s="2041"/>
      <c r="E84" s="2041"/>
      <c r="F84" s="2041"/>
      <c r="G84" s="2041"/>
      <c r="H84" s="2041"/>
      <c r="I84" s="2118">
        <v>0</v>
      </c>
      <c r="J84" s="2118"/>
      <c r="K84" s="2118"/>
      <c r="L84" s="2118"/>
      <c r="M84" s="2118"/>
      <c r="N84" s="2118"/>
      <c r="O84" s="2118">
        <v>0</v>
      </c>
      <c r="P84" s="2118"/>
      <c r="Q84" s="2118"/>
      <c r="R84" s="2118"/>
      <c r="S84" s="2118"/>
      <c r="T84" s="2118"/>
      <c r="U84" s="2118"/>
      <c r="V84" s="2118">
        <v>0</v>
      </c>
      <c r="W84" s="2118"/>
      <c r="X84" s="2118"/>
      <c r="Y84" s="2118"/>
      <c r="Z84" s="2118"/>
      <c r="AA84" s="2118"/>
      <c r="AB84" s="2118">
        <v>0</v>
      </c>
      <c r="AC84" s="2118"/>
      <c r="AD84" s="2118"/>
      <c r="AE84" s="2118"/>
      <c r="AF84" s="2118"/>
      <c r="AG84" s="2118"/>
      <c r="AH84" s="2119"/>
      <c r="AI84" s="1208"/>
      <c r="AJ84" s="2107"/>
      <c r="AK84" s="2108"/>
      <c r="AL84" s="2108"/>
      <c r="AM84" s="2108"/>
      <c r="AN84" s="2108"/>
      <c r="AO84" s="2108"/>
      <c r="AP84" s="2108"/>
      <c r="AQ84" s="2108"/>
      <c r="AR84" s="2108"/>
      <c r="AS84" s="2108"/>
      <c r="AT84" s="2108"/>
      <c r="AU84" s="2108"/>
      <c r="AV84" s="2108"/>
      <c r="AW84" s="2108"/>
      <c r="AX84" s="2108"/>
      <c r="AY84" s="2111"/>
      <c r="AZ84" s="2111"/>
      <c r="BA84" s="2111"/>
      <c r="BB84" s="2112"/>
      <c r="BC84" s="1208"/>
      <c r="BD84" s="1208"/>
      <c r="BE84" s="1215"/>
      <c r="CK84" s="1206"/>
      <c r="CL84" s="1206"/>
      <c r="CM84" s="1206"/>
      <c r="CN84" s="1206"/>
      <c r="CO84" s="1206"/>
      <c r="CP84" s="1206"/>
    </row>
    <row r="85" spans="1:94" ht="15.75" customHeight="1">
      <c r="A85" s="1208"/>
      <c r="B85" s="2040" t="s">
        <v>2306</v>
      </c>
      <c r="C85" s="2041"/>
      <c r="D85" s="2041"/>
      <c r="E85" s="2041"/>
      <c r="F85" s="2041"/>
      <c r="G85" s="2041"/>
      <c r="H85" s="2041"/>
      <c r="I85" s="2118">
        <v>0</v>
      </c>
      <c r="J85" s="2118"/>
      <c r="K85" s="2118"/>
      <c r="L85" s="2118"/>
      <c r="M85" s="2118"/>
      <c r="N85" s="2118"/>
      <c r="O85" s="2118">
        <v>0</v>
      </c>
      <c r="P85" s="2118"/>
      <c r="Q85" s="2118"/>
      <c r="R85" s="2118"/>
      <c r="S85" s="2118"/>
      <c r="T85" s="2118"/>
      <c r="U85" s="2118"/>
      <c r="V85" s="2118">
        <v>0</v>
      </c>
      <c r="W85" s="2118"/>
      <c r="X85" s="2118"/>
      <c r="Y85" s="2118"/>
      <c r="Z85" s="2118"/>
      <c r="AA85" s="2118"/>
      <c r="AB85" s="2118">
        <v>0</v>
      </c>
      <c r="AC85" s="2118"/>
      <c r="AD85" s="2118"/>
      <c r="AE85" s="2118"/>
      <c r="AF85" s="2118"/>
      <c r="AG85" s="2118"/>
      <c r="AH85" s="2119"/>
      <c r="AI85" s="1208"/>
      <c r="AJ85" s="2088" t="s">
        <v>2312</v>
      </c>
      <c r="AK85" s="2089"/>
      <c r="AL85" s="2089"/>
      <c r="AM85" s="2089"/>
      <c r="AN85" s="2089"/>
      <c r="AO85" s="2089"/>
      <c r="AP85" s="2089"/>
      <c r="AQ85" s="2089"/>
      <c r="AR85" s="2089"/>
      <c r="AS85" s="2089"/>
      <c r="AT85" s="2089"/>
      <c r="AU85" s="2089"/>
      <c r="AV85" s="2089"/>
      <c r="AW85" s="2089"/>
      <c r="AX85" s="2089"/>
      <c r="AY85" s="2089"/>
      <c r="AZ85" s="2089"/>
      <c r="BA85" s="2089"/>
      <c r="BB85" s="2090"/>
      <c r="BC85" s="1208"/>
      <c r="BD85" s="1208"/>
      <c r="BE85" s="1215"/>
      <c r="CK85" s="1206"/>
      <c r="CL85" s="1206"/>
      <c r="CM85" s="1206"/>
      <c r="CN85" s="1206"/>
      <c r="CO85" s="1206"/>
      <c r="CP85" s="1206"/>
    </row>
    <row r="86" spans="1:94" ht="15.75" customHeight="1" thickBot="1">
      <c r="A86" s="1208"/>
      <c r="B86" s="2058" t="s">
        <v>2305</v>
      </c>
      <c r="C86" s="2059"/>
      <c r="D86" s="2059"/>
      <c r="E86" s="2059"/>
      <c r="F86" s="2059"/>
      <c r="G86" s="2059"/>
      <c r="H86" s="2059"/>
      <c r="I86" s="2116">
        <v>0</v>
      </c>
      <c r="J86" s="2116"/>
      <c r="K86" s="2116"/>
      <c r="L86" s="2116"/>
      <c r="M86" s="2116"/>
      <c r="N86" s="2116"/>
      <c r="O86" s="2116">
        <v>0</v>
      </c>
      <c r="P86" s="2116"/>
      <c r="Q86" s="2116"/>
      <c r="R86" s="2116"/>
      <c r="S86" s="2116"/>
      <c r="T86" s="2116"/>
      <c r="U86" s="2116"/>
      <c r="V86" s="2116">
        <v>0</v>
      </c>
      <c r="W86" s="2116"/>
      <c r="X86" s="2116"/>
      <c r="Y86" s="2116"/>
      <c r="Z86" s="2116"/>
      <c r="AA86" s="2116"/>
      <c r="AB86" s="2116">
        <v>0</v>
      </c>
      <c r="AC86" s="2116"/>
      <c r="AD86" s="2116"/>
      <c r="AE86" s="2116"/>
      <c r="AF86" s="2116"/>
      <c r="AG86" s="2116"/>
      <c r="AH86" s="2117"/>
      <c r="AI86" s="1208"/>
      <c r="AJ86" s="2091"/>
      <c r="AK86" s="2092"/>
      <c r="AL86" s="2092"/>
      <c r="AM86" s="2092"/>
      <c r="AN86" s="2092"/>
      <c r="AO86" s="2092"/>
      <c r="AP86" s="2092"/>
      <c r="AQ86" s="2092"/>
      <c r="AR86" s="2092"/>
      <c r="AS86" s="2092"/>
      <c r="AT86" s="2092"/>
      <c r="AU86" s="2092"/>
      <c r="AV86" s="2092"/>
      <c r="AW86" s="2092"/>
      <c r="AX86" s="2092"/>
      <c r="AY86" s="2092"/>
      <c r="AZ86" s="2092"/>
      <c r="BA86" s="2092"/>
      <c r="BB86" s="209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099"/>
      <c r="G90" s="2100"/>
      <c r="H90" s="2100"/>
      <c r="I90" s="2100"/>
      <c r="J90" s="2100"/>
      <c r="K90" s="2100"/>
      <c r="L90" s="2100"/>
      <c r="M90" s="2100"/>
      <c r="N90" s="2100"/>
      <c r="O90" s="2100"/>
      <c r="P90" s="2100"/>
      <c r="Q90" s="2100"/>
      <c r="R90" s="2100"/>
      <c r="S90" s="2100"/>
      <c r="T90" s="210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02" t="s">
        <v>2313</v>
      </c>
      <c r="C92" s="2103"/>
      <c r="D92" s="2103"/>
      <c r="E92" s="2103"/>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4"/>
      <c r="AI92" s="1208"/>
      <c r="AJ92" s="2105" t="s">
        <v>2618</v>
      </c>
      <c r="AK92" s="2106"/>
      <c r="AL92" s="2106"/>
      <c r="AM92" s="2106"/>
      <c r="AN92" s="2106"/>
      <c r="AO92" s="2106"/>
      <c r="AP92" s="2106"/>
      <c r="AQ92" s="2106"/>
      <c r="AR92" s="2106"/>
      <c r="AS92" s="2106"/>
      <c r="AT92" s="2106"/>
      <c r="AU92" s="2106"/>
      <c r="AV92" s="2106"/>
      <c r="AW92" s="2106"/>
      <c r="AX92" s="2106"/>
      <c r="AY92" s="2109" t="s">
        <v>545</v>
      </c>
      <c r="AZ92" s="2109"/>
      <c r="BA92" s="2109"/>
      <c r="BB92" s="211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40"/>
      <c r="C93" s="2041"/>
      <c r="D93" s="2041"/>
      <c r="E93" s="2041"/>
      <c r="F93" s="2041"/>
      <c r="G93" s="2041"/>
      <c r="H93" s="2041"/>
      <c r="I93" s="2041" t="s">
        <v>2309</v>
      </c>
      <c r="J93" s="2041"/>
      <c r="K93" s="2041"/>
      <c r="L93" s="2041"/>
      <c r="M93" s="2041"/>
      <c r="N93" s="2041"/>
      <c r="O93" s="2041" t="s">
        <v>2286</v>
      </c>
      <c r="P93" s="2041"/>
      <c r="Q93" s="2041"/>
      <c r="R93" s="2041"/>
      <c r="S93" s="2041"/>
      <c r="T93" s="2041"/>
      <c r="U93" s="2041"/>
      <c r="V93" s="2113" t="s">
        <v>2285</v>
      </c>
      <c r="W93" s="2113"/>
      <c r="X93" s="2113"/>
      <c r="Y93" s="2113"/>
      <c r="Z93" s="2113"/>
      <c r="AA93" s="2113"/>
      <c r="AB93" s="2114" t="s">
        <v>2308</v>
      </c>
      <c r="AC93" s="2114"/>
      <c r="AD93" s="2114"/>
      <c r="AE93" s="2114"/>
      <c r="AF93" s="2114"/>
      <c r="AG93" s="2114"/>
      <c r="AH93" s="2115"/>
      <c r="AI93" s="1208"/>
      <c r="AJ93" s="2107"/>
      <c r="AK93" s="2108"/>
      <c r="AL93" s="2108"/>
      <c r="AM93" s="2108"/>
      <c r="AN93" s="2108"/>
      <c r="AO93" s="2108"/>
      <c r="AP93" s="2108"/>
      <c r="AQ93" s="2108"/>
      <c r="AR93" s="2108"/>
      <c r="AS93" s="2108"/>
      <c r="AT93" s="2108"/>
      <c r="AU93" s="2108"/>
      <c r="AV93" s="2108"/>
      <c r="AW93" s="2108"/>
      <c r="AX93" s="2108"/>
      <c r="AY93" s="2111"/>
      <c r="AZ93" s="2111"/>
      <c r="BA93" s="2111"/>
      <c r="BB93" s="211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40"/>
      <c r="C94" s="2041"/>
      <c r="D94" s="2041"/>
      <c r="E94" s="2041"/>
      <c r="F94" s="2041"/>
      <c r="G94" s="2041"/>
      <c r="H94" s="2041"/>
      <c r="I94" s="2041"/>
      <c r="J94" s="2041"/>
      <c r="K94" s="2041"/>
      <c r="L94" s="2041"/>
      <c r="M94" s="2041"/>
      <c r="N94" s="2041"/>
      <c r="O94" s="2041"/>
      <c r="P94" s="2041"/>
      <c r="Q94" s="2041"/>
      <c r="R94" s="2041"/>
      <c r="S94" s="2041"/>
      <c r="T94" s="2041"/>
      <c r="U94" s="2041"/>
      <c r="V94" s="2113"/>
      <c r="W94" s="2113"/>
      <c r="X94" s="2113"/>
      <c r="Y94" s="2113"/>
      <c r="Z94" s="2113"/>
      <c r="AA94" s="2113"/>
      <c r="AB94" s="2114"/>
      <c r="AC94" s="2114"/>
      <c r="AD94" s="2114"/>
      <c r="AE94" s="2114"/>
      <c r="AF94" s="2114"/>
      <c r="AG94" s="2114"/>
      <c r="AH94" s="2115"/>
      <c r="AI94" s="1208"/>
      <c r="AJ94" s="2107"/>
      <c r="AK94" s="2108"/>
      <c r="AL94" s="2108"/>
      <c r="AM94" s="2108"/>
      <c r="AN94" s="2108"/>
      <c r="AO94" s="2108"/>
      <c r="AP94" s="2108"/>
      <c r="AQ94" s="2108"/>
      <c r="AR94" s="2108"/>
      <c r="AS94" s="2108"/>
      <c r="AT94" s="2108"/>
      <c r="AU94" s="2108"/>
      <c r="AV94" s="2108"/>
      <c r="AW94" s="2108"/>
      <c r="AX94" s="2108"/>
      <c r="AY94" s="2111"/>
      <c r="AZ94" s="2111"/>
      <c r="BA94" s="2111"/>
      <c r="BB94" s="211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40" t="s">
        <v>2307</v>
      </c>
      <c r="C95" s="2041"/>
      <c r="D95" s="2041"/>
      <c r="E95" s="2041"/>
      <c r="F95" s="2041"/>
      <c r="G95" s="2041"/>
      <c r="H95" s="2041"/>
      <c r="I95" s="2118">
        <v>0</v>
      </c>
      <c r="J95" s="2118"/>
      <c r="K95" s="2118"/>
      <c r="L95" s="2118"/>
      <c r="M95" s="2118"/>
      <c r="N95" s="2118"/>
      <c r="O95" s="2118">
        <v>0</v>
      </c>
      <c r="P95" s="2118"/>
      <c r="Q95" s="2118"/>
      <c r="R95" s="2118"/>
      <c r="S95" s="2118"/>
      <c r="T95" s="2118"/>
      <c r="U95" s="2118"/>
      <c r="V95" s="2118">
        <v>0</v>
      </c>
      <c r="W95" s="2118"/>
      <c r="X95" s="2118"/>
      <c r="Y95" s="2118"/>
      <c r="Z95" s="2118"/>
      <c r="AA95" s="2118"/>
      <c r="AB95" s="2118">
        <v>0</v>
      </c>
      <c r="AC95" s="2118"/>
      <c r="AD95" s="2118"/>
      <c r="AE95" s="2118"/>
      <c r="AF95" s="2118"/>
      <c r="AG95" s="2118"/>
      <c r="AH95" s="2119"/>
      <c r="AI95" s="1208"/>
      <c r="AJ95" s="2107"/>
      <c r="AK95" s="2108"/>
      <c r="AL95" s="2108"/>
      <c r="AM95" s="2108"/>
      <c r="AN95" s="2108"/>
      <c r="AO95" s="2108"/>
      <c r="AP95" s="2108"/>
      <c r="AQ95" s="2108"/>
      <c r="AR95" s="2108"/>
      <c r="AS95" s="2108"/>
      <c r="AT95" s="2108"/>
      <c r="AU95" s="2108"/>
      <c r="AV95" s="2108"/>
      <c r="AW95" s="2108"/>
      <c r="AX95" s="2108"/>
      <c r="AY95" s="2111"/>
      <c r="AZ95" s="2111"/>
      <c r="BA95" s="2111"/>
      <c r="BB95" s="211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40" t="s">
        <v>2306</v>
      </c>
      <c r="C96" s="2041"/>
      <c r="D96" s="2041"/>
      <c r="E96" s="2041"/>
      <c r="F96" s="2041"/>
      <c r="G96" s="2041"/>
      <c r="H96" s="2041"/>
      <c r="I96" s="2118">
        <v>0</v>
      </c>
      <c r="J96" s="2118"/>
      <c r="K96" s="2118"/>
      <c r="L96" s="2118"/>
      <c r="M96" s="2118"/>
      <c r="N96" s="2118"/>
      <c r="O96" s="2118">
        <v>0</v>
      </c>
      <c r="P96" s="2118"/>
      <c r="Q96" s="2118"/>
      <c r="R96" s="2118"/>
      <c r="S96" s="2118"/>
      <c r="T96" s="2118"/>
      <c r="U96" s="2118"/>
      <c r="V96" s="2118">
        <v>0</v>
      </c>
      <c r="W96" s="2118"/>
      <c r="X96" s="2118"/>
      <c r="Y96" s="2118"/>
      <c r="Z96" s="2118"/>
      <c r="AA96" s="2118"/>
      <c r="AB96" s="2118">
        <v>0</v>
      </c>
      <c r="AC96" s="2118"/>
      <c r="AD96" s="2118"/>
      <c r="AE96" s="2118"/>
      <c r="AF96" s="2118"/>
      <c r="AG96" s="2118"/>
      <c r="AH96" s="2119"/>
      <c r="AI96" s="1208"/>
      <c r="AJ96" s="2088" t="s">
        <v>2312</v>
      </c>
      <c r="AK96" s="2089"/>
      <c r="AL96" s="2089"/>
      <c r="AM96" s="2089"/>
      <c r="AN96" s="2089"/>
      <c r="AO96" s="2089"/>
      <c r="AP96" s="2089"/>
      <c r="AQ96" s="2089"/>
      <c r="AR96" s="2089"/>
      <c r="AS96" s="2089"/>
      <c r="AT96" s="2089"/>
      <c r="AU96" s="2089"/>
      <c r="AV96" s="2089"/>
      <c r="AW96" s="2089"/>
      <c r="AX96" s="2089"/>
      <c r="AY96" s="2089"/>
      <c r="AZ96" s="2089"/>
      <c r="BA96" s="2089"/>
      <c r="BB96" s="209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58" t="s">
        <v>2305</v>
      </c>
      <c r="C97" s="2059"/>
      <c r="D97" s="2059"/>
      <c r="E97" s="2059"/>
      <c r="F97" s="2059"/>
      <c r="G97" s="2059"/>
      <c r="H97" s="2059"/>
      <c r="I97" s="2116">
        <v>0</v>
      </c>
      <c r="J97" s="2116"/>
      <c r="K97" s="2116"/>
      <c r="L97" s="2116"/>
      <c r="M97" s="2116"/>
      <c r="N97" s="2116"/>
      <c r="O97" s="2116">
        <v>0</v>
      </c>
      <c r="P97" s="2116"/>
      <c r="Q97" s="2116"/>
      <c r="R97" s="2116"/>
      <c r="S97" s="2116"/>
      <c r="T97" s="2116"/>
      <c r="U97" s="2116"/>
      <c r="V97" s="2116">
        <v>0</v>
      </c>
      <c r="W97" s="2116"/>
      <c r="X97" s="2116"/>
      <c r="Y97" s="2116"/>
      <c r="Z97" s="2116"/>
      <c r="AA97" s="2116"/>
      <c r="AB97" s="2116">
        <v>0</v>
      </c>
      <c r="AC97" s="2116"/>
      <c r="AD97" s="2116"/>
      <c r="AE97" s="2116"/>
      <c r="AF97" s="2116"/>
      <c r="AG97" s="2116"/>
      <c r="AH97" s="2117"/>
      <c r="AI97" s="1208"/>
      <c r="AJ97" s="2091"/>
      <c r="AK97" s="2092"/>
      <c r="AL97" s="2092"/>
      <c r="AM97" s="2092"/>
      <c r="AN97" s="2092"/>
      <c r="AO97" s="2092"/>
      <c r="AP97" s="2092"/>
      <c r="AQ97" s="2092"/>
      <c r="AR97" s="2092"/>
      <c r="AS97" s="2092"/>
      <c r="AT97" s="2092"/>
      <c r="AU97" s="2092"/>
      <c r="AV97" s="2092"/>
      <c r="AW97" s="2092"/>
      <c r="AX97" s="2092"/>
      <c r="AY97" s="2092"/>
      <c r="AZ97" s="2092"/>
      <c r="BA97" s="2092"/>
      <c r="BB97" s="209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20"/>
      <c r="G100" s="2121"/>
      <c r="H100" s="2121"/>
      <c r="I100" s="2121"/>
      <c r="J100" s="2121"/>
      <c r="K100" s="2121"/>
      <c r="L100" s="2121"/>
      <c r="M100" s="2121"/>
      <c r="N100" s="2121"/>
      <c r="O100" s="2121"/>
      <c r="P100" s="2121"/>
      <c r="Q100" s="2121"/>
      <c r="R100" s="2122"/>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84" t="s">
        <v>2310</v>
      </c>
      <c r="C102" s="2085"/>
      <c r="D102" s="2085"/>
      <c r="E102" s="2085"/>
      <c r="F102" s="2085"/>
      <c r="G102" s="2085"/>
      <c r="H102" s="2085"/>
      <c r="I102" s="2085"/>
      <c r="J102" s="2085"/>
      <c r="K102" s="2085"/>
      <c r="L102" s="2085"/>
      <c r="M102" s="2085"/>
      <c r="N102" s="2085"/>
      <c r="O102" s="2085"/>
      <c r="P102" s="2085"/>
      <c r="Q102" s="2085"/>
      <c r="R102" s="2085"/>
      <c r="S102" s="2085"/>
      <c r="T102" s="2085"/>
      <c r="U102" s="2085"/>
      <c r="V102" s="2085"/>
      <c r="W102" s="2085"/>
      <c r="X102" s="2085"/>
      <c r="Y102" s="2085"/>
      <c r="Z102" s="2085"/>
      <c r="AA102" s="2085"/>
      <c r="AB102" s="2085"/>
      <c r="AC102" s="2085"/>
      <c r="AD102" s="2085"/>
      <c r="AE102" s="2085"/>
      <c r="AF102" s="2085"/>
      <c r="AG102" s="2085"/>
      <c r="AH102" s="212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40"/>
      <c r="C103" s="2041"/>
      <c r="D103" s="2041"/>
      <c r="E103" s="2041"/>
      <c r="F103" s="2041"/>
      <c r="G103" s="2041"/>
      <c r="H103" s="2041"/>
      <c r="I103" s="2041" t="s">
        <v>2309</v>
      </c>
      <c r="J103" s="2041"/>
      <c r="K103" s="2041"/>
      <c r="L103" s="2041"/>
      <c r="M103" s="2041"/>
      <c r="N103" s="2041"/>
      <c r="O103" s="2041" t="s">
        <v>2286</v>
      </c>
      <c r="P103" s="2041"/>
      <c r="Q103" s="2041"/>
      <c r="R103" s="2041"/>
      <c r="S103" s="2041"/>
      <c r="T103" s="2041"/>
      <c r="U103" s="2041"/>
      <c r="V103" s="2113" t="s">
        <v>2285</v>
      </c>
      <c r="W103" s="2113"/>
      <c r="X103" s="2113"/>
      <c r="Y103" s="2113"/>
      <c r="Z103" s="2113"/>
      <c r="AA103" s="2113"/>
      <c r="AB103" s="2114" t="s">
        <v>2308</v>
      </c>
      <c r="AC103" s="2114"/>
      <c r="AD103" s="2114"/>
      <c r="AE103" s="2114"/>
      <c r="AF103" s="2114"/>
      <c r="AG103" s="2114"/>
      <c r="AH103" s="2115"/>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40"/>
      <c r="C104" s="2041"/>
      <c r="D104" s="2041"/>
      <c r="E104" s="2041"/>
      <c r="F104" s="2041"/>
      <c r="G104" s="2041"/>
      <c r="H104" s="2041"/>
      <c r="I104" s="2041"/>
      <c r="J104" s="2041"/>
      <c r="K104" s="2041"/>
      <c r="L104" s="2041"/>
      <c r="M104" s="2041"/>
      <c r="N104" s="2041"/>
      <c r="O104" s="2041"/>
      <c r="P104" s="2041"/>
      <c r="Q104" s="2041"/>
      <c r="R104" s="2041"/>
      <c r="S104" s="2041"/>
      <c r="T104" s="2041"/>
      <c r="U104" s="2041"/>
      <c r="V104" s="2113"/>
      <c r="W104" s="2113"/>
      <c r="X104" s="2113"/>
      <c r="Y104" s="2113"/>
      <c r="Z104" s="2113"/>
      <c r="AA104" s="2113"/>
      <c r="AB104" s="2114"/>
      <c r="AC104" s="2114"/>
      <c r="AD104" s="2114"/>
      <c r="AE104" s="2114"/>
      <c r="AF104" s="2114"/>
      <c r="AG104" s="2114"/>
      <c r="AH104" s="2115"/>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40" t="s">
        <v>2307</v>
      </c>
      <c r="C105" s="2041"/>
      <c r="D105" s="2041"/>
      <c r="E105" s="2041"/>
      <c r="F105" s="2041"/>
      <c r="G105" s="2041"/>
      <c r="H105" s="2041"/>
      <c r="I105" s="2118">
        <v>0</v>
      </c>
      <c r="J105" s="2118"/>
      <c r="K105" s="2118"/>
      <c r="L105" s="2118"/>
      <c r="M105" s="2118"/>
      <c r="N105" s="2118"/>
      <c r="O105" s="2118">
        <v>0</v>
      </c>
      <c r="P105" s="2118"/>
      <c r="Q105" s="2118"/>
      <c r="R105" s="2118"/>
      <c r="S105" s="2118"/>
      <c r="T105" s="2118"/>
      <c r="U105" s="2118"/>
      <c r="V105" s="2118">
        <v>0</v>
      </c>
      <c r="W105" s="2118"/>
      <c r="X105" s="2118"/>
      <c r="Y105" s="2118"/>
      <c r="Z105" s="2118"/>
      <c r="AA105" s="2118"/>
      <c r="AB105" s="2118">
        <v>0</v>
      </c>
      <c r="AC105" s="2118"/>
      <c r="AD105" s="2118"/>
      <c r="AE105" s="2118"/>
      <c r="AF105" s="2118"/>
      <c r="AG105" s="2118"/>
      <c r="AH105" s="211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40" t="s">
        <v>2306</v>
      </c>
      <c r="C106" s="2041"/>
      <c r="D106" s="2041"/>
      <c r="E106" s="2041"/>
      <c r="F106" s="2041"/>
      <c r="G106" s="2041"/>
      <c r="H106" s="2041"/>
      <c r="I106" s="2118">
        <v>0</v>
      </c>
      <c r="J106" s="2118"/>
      <c r="K106" s="2118"/>
      <c r="L106" s="2118"/>
      <c r="M106" s="2118"/>
      <c r="N106" s="2118"/>
      <c r="O106" s="2118">
        <v>0</v>
      </c>
      <c r="P106" s="2118"/>
      <c r="Q106" s="2118"/>
      <c r="R106" s="2118"/>
      <c r="S106" s="2118"/>
      <c r="T106" s="2118"/>
      <c r="U106" s="2118"/>
      <c r="V106" s="2118">
        <v>0</v>
      </c>
      <c r="W106" s="2118"/>
      <c r="X106" s="2118"/>
      <c r="Y106" s="2118"/>
      <c r="Z106" s="2118"/>
      <c r="AA106" s="2118"/>
      <c r="AB106" s="2118">
        <v>0</v>
      </c>
      <c r="AC106" s="2118"/>
      <c r="AD106" s="2118"/>
      <c r="AE106" s="2118"/>
      <c r="AF106" s="2118"/>
      <c r="AG106" s="2118"/>
      <c r="AH106" s="211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58" t="s">
        <v>2305</v>
      </c>
      <c r="C107" s="2059"/>
      <c r="D107" s="2059"/>
      <c r="E107" s="2059"/>
      <c r="F107" s="2059"/>
      <c r="G107" s="2059"/>
      <c r="H107" s="2059"/>
      <c r="I107" s="2116">
        <v>0</v>
      </c>
      <c r="J107" s="2116"/>
      <c r="K107" s="2116"/>
      <c r="L107" s="2116"/>
      <c r="M107" s="2116"/>
      <c r="N107" s="2116"/>
      <c r="O107" s="2116">
        <v>0</v>
      </c>
      <c r="P107" s="2116"/>
      <c r="Q107" s="2116"/>
      <c r="R107" s="2116"/>
      <c r="S107" s="2116"/>
      <c r="T107" s="2116"/>
      <c r="U107" s="2116"/>
      <c r="V107" s="2116">
        <v>0</v>
      </c>
      <c r="W107" s="2116"/>
      <c r="X107" s="2116"/>
      <c r="Y107" s="2116"/>
      <c r="Z107" s="2116"/>
      <c r="AA107" s="2116"/>
      <c r="AB107" s="2116">
        <v>0</v>
      </c>
      <c r="AC107" s="2116"/>
      <c r="AD107" s="2116"/>
      <c r="AE107" s="2116"/>
      <c r="AF107" s="2116"/>
      <c r="AG107" s="2116"/>
      <c r="AH107" s="211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20"/>
      <c r="G110" s="2121"/>
      <c r="H110" s="2121"/>
      <c r="I110" s="2121"/>
      <c r="J110" s="2121"/>
      <c r="K110" s="2121"/>
      <c r="L110" s="2121"/>
      <c r="M110" s="2121"/>
      <c r="N110" s="2121"/>
      <c r="O110" s="2121"/>
      <c r="P110" s="2121"/>
      <c r="Q110" s="2121"/>
      <c r="R110" s="2122"/>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24" t="s">
        <v>2619</v>
      </c>
      <c r="C112" s="2125"/>
      <c r="D112" s="2125"/>
      <c r="E112" s="2125"/>
      <c r="F112" s="2125"/>
      <c r="G112" s="2125"/>
      <c r="H112" s="2125"/>
      <c r="I112" s="2125"/>
      <c r="J112" s="2125"/>
      <c r="K112" s="2125"/>
      <c r="L112" s="2125"/>
      <c r="M112" s="2125"/>
      <c r="N112" s="2125"/>
      <c r="O112" s="2125"/>
      <c r="P112" s="2125"/>
      <c r="Q112" s="2125"/>
      <c r="R112" s="2125"/>
      <c r="S112" s="2125"/>
      <c r="T112" s="2125"/>
      <c r="U112" s="2128" t="s">
        <v>545</v>
      </c>
      <c r="V112" s="2128"/>
      <c r="W112" s="2128"/>
      <c r="X112" s="212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6"/>
      <c r="C113" s="2127"/>
      <c r="D113" s="2127"/>
      <c r="E113" s="2127"/>
      <c r="F113" s="2127"/>
      <c r="G113" s="2127"/>
      <c r="H113" s="2127"/>
      <c r="I113" s="2127"/>
      <c r="J113" s="2127"/>
      <c r="K113" s="2127"/>
      <c r="L113" s="2127"/>
      <c r="M113" s="2127"/>
      <c r="N113" s="2127"/>
      <c r="O113" s="2127"/>
      <c r="P113" s="2127"/>
      <c r="Q113" s="2127"/>
      <c r="R113" s="2127"/>
      <c r="S113" s="2127"/>
      <c r="T113" s="2127"/>
      <c r="U113" s="2130"/>
      <c r="V113" s="2130"/>
      <c r="W113" s="2130"/>
      <c r="X113" s="213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6"/>
      <c r="C114" s="2127"/>
      <c r="D114" s="2127"/>
      <c r="E114" s="2127"/>
      <c r="F114" s="2127"/>
      <c r="G114" s="2127"/>
      <c r="H114" s="2127"/>
      <c r="I114" s="2127"/>
      <c r="J114" s="2127"/>
      <c r="K114" s="2127"/>
      <c r="L114" s="2127"/>
      <c r="M114" s="2127"/>
      <c r="N114" s="2127"/>
      <c r="O114" s="2127"/>
      <c r="P114" s="2127"/>
      <c r="Q114" s="2127"/>
      <c r="R114" s="2127"/>
      <c r="S114" s="2127"/>
      <c r="T114" s="2127"/>
      <c r="U114" s="2130"/>
      <c r="V114" s="2130"/>
      <c r="W114" s="2130"/>
      <c r="X114" s="213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6"/>
      <c r="C115" s="2127"/>
      <c r="D115" s="2127"/>
      <c r="E115" s="2127"/>
      <c r="F115" s="2127"/>
      <c r="G115" s="2127"/>
      <c r="H115" s="2127"/>
      <c r="I115" s="2127"/>
      <c r="J115" s="2127"/>
      <c r="K115" s="2127"/>
      <c r="L115" s="2127"/>
      <c r="M115" s="2127"/>
      <c r="N115" s="2127"/>
      <c r="O115" s="2127"/>
      <c r="P115" s="2127"/>
      <c r="Q115" s="2127"/>
      <c r="R115" s="2127"/>
      <c r="S115" s="2127"/>
      <c r="T115" s="2127"/>
      <c r="U115" s="2130"/>
      <c r="V115" s="2130"/>
      <c r="W115" s="2130"/>
      <c r="X115" s="213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32" t="s">
        <v>2619</v>
      </c>
      <c r="C116" s="2133"/>
      <c r="D116" s="2133"/>
      <c r="E116" s="2133"/>
      <c r="F116" s="2133"/>
      <c r="G116" s="2133"/>
      <c r="H116" s="2133"/>
      <c r="I116" s="2133"/>
      <c r="J116" s="2133"/>
      <c r="K116" s="2133"/>
      <c r="L116" s="2133"/>
      <c r="M116" s="2133"/>
      <c r="N116" s="2133"/>
      <c r="O116" s="2133"/>
      <c r="P116" s="2133"/>
      <c r="Q116" s="2133"/>
      <c r="R116" s="2133"/>
      <c r="S116" s="2133"/>
      <c r="T116" s="2133"/>
      <c r="U116" s="2136" t="s">
        <v>545</v>
      </c>
      <c r="V116" s="2136"/>
      <c r="W116" s="2136"/>
      <c r="X116" s="213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34"/>
      <c r="C117" s="2135"/>
      <c r="D117" s="2135"/>
      <c r="E117" s="2135"/>
      <c r="F117" s="2135"/>
      <c r="G117" s="2135"/>
      <c r="H117" s="2135"/>
      <c r="I117" s="2135"/>
      <c r="J117" s="2135"/>
      <c r="K117" s="2135"/>
      <c r="L117" s="2135"/>
      <c r="M117" s="2135"/>
      <c r="N117" s="2135"/>
      <c r="O117" s="2135"/>
      <c r="P117" s="2135"/>
      <c r="Q117" s="2135"/>
      <c r="R117" s="2135"/>
      <c r="S117" s="2135"/>
      <c r="T117" s="2135"/>
      <c r="U117" s="2138"/>
      <c r="V117" s="2138"/>
      <c r="W117" s="2138"/>
      <c r="X117" s="213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05" t="s">
        <v>2302</v>
      </c>
      <c r="Y120" s="2106"/>
      <c r="Z120" s="2106"/>
      <c r="AA120" s="2106"/>
      <c r="AB120" s="2106"/>
      <c r="AC120" s="2106"/>
      <c r="AD120" s="2106"/>
      <c r="AE120" s="2106"/>
      <c r="AF120" s="2106"/>
      <c r="AG120" s="2106"/>
      <c r="AH120" s="2106"/>
      <c r="AI120" s="2106"/>
      <c r="AJ120" s="2106"/>
      <c r="AK120" s="2106"/>
      <c r="AL120" s="2106"/>
      <c r="AM120" s="2106"/>
      <c r="AN120" s="2106"/>
      <c r="AO120" s="2106"/>
      <c r="AP120" s="2106"/>
      <c r="AQ120" s="2106"/>
      <c r="AR120" s="2106"/>
      <c r="AS120" s="2106"/>
      <c r="AT120" s="2106"/>
      <c r="AU120" s="2106"/>
      <c r="AV120" s="2106"/>
      <c r="AW120" s="2106"/>
      <c r="AX120" s="2106"/>
      <c r="AY120" s="2106"/>
      <c r="AZ120" s="2106"/>
      <c r="BA120" s="2106"/>
      <c r="BB120" s="2106"/>
      <c r="BC120" s="2106"/>
      <c r="BD120" s="2146"/>
      <c r="BE120" s="1215"/>
    </row>
    <row r="121" spans="1:57" ht="15.75" customHeight="1">
      <c r="A121" s="1208"/>
      <c r="B121" s="2148" t="s">
        <v>1565</v>
      </c>
      <c r="C121" s="2149"/>
      <c r="D121" s="2149"/>
      <c r="E121" s="2149"/>
      <c r="F121" s="2149"/>
      <c r="G121" s="2149"/>
      <c r="H121" s="2149"/>
      <c r="I121" s="2149"/>
      <c r="J121" s="2149"/>
      <c r="K121" s="2149"/>
      <c r="L121" s="2149"/>
      <c r="M121" s="2149"/>
      <c r="N121" s="2149"/>
      <c r="O121" s="2149"/>
      <c r="P121" s="2149"/>
      <c r="Q121" s="2149"/>
      <c r="R121" s="2149"/>
      <c r="S121" s="2149"/>
      <c r="T121" s="2149"/>
      <c r="U121" s="2150"/>
      <c r="V121" s="1208"/>
      <c r="W121" s="1208"/>
      <c r="X121" s="2107"/>
      <c r="Y121" s="2108"/>
      <c r="Z121" s="2108"/>
      <c r="AA121" s="2108"/>
      <c r="AB121" s="2108"/>
      <c r="AC121" s="2108"/>
      <c r="AD121" s="2108"/>
      <c r="AE121" s="2108"/>
      <c r="AF121" s="2108"/>
      <c r="AG121" s="2108"/>
      <c r="AH121" s="2108"/>
      <c r="AI121" s="2108"/>
      <c r="AJ121" s="2108"/>
      <c r="AK121" s="2108"/>
      <c r="AL121" s="2108"/>
      <c r="AM121" s="2108"/>
      <c r="AN121" s="2108"/>
      <c r="AO121" s="2108"/>
      <c r="AP121" s="2108"/>
      <c r="AQ121" s="2108"/>
      <c r="AR121" s="2108"/>
      <c r="AS121" s="2108"/>
      <c r="AT121" s="2108"/>
      <c r="AU121" s="2108"/>
      <c r="AV121" s="2108"/>
      <c r="AW121" s="2108"/>
      <c r="AX121" s="2108"/>
      <c r="AY121" s="2108"/>
      <c r="AZ121" s="2108"/>
      <c r="BA121" s="2108"/>
      <c r="BB121" s="2108"/>
      <c r="BC121" s="2108"/>
      <c r="BD121" s="2147"/>
      <c r="BE121" s="1215"/>
    </row>
    <row r="122" spans="1:57" ht="15.75" customHeight="1">
      <c r="A122" s="1208"/>
      <c r="B122" s="2166"/>
      <c r="C122" s="2167"/>
      <c r="D122" s="2167"/>
      <c r="E122" s="2167"/>
      <c r="F122" s="2167"/>
      <c r="G122" s="2167"/>
      <c r="H122" s="2167"/>
      <c r="I122" s="2041" t="s">
        <v>2301</v>
      </c>
      <c r="J122" s="2041"/>
      <c r="K122" s="2041"/>
      <c r="L122" s="2041"/>
      <c r="M122" s="2041"/>
      <c r="N122" s="2041"/>
      <c r="O122" s="2170" t="s">
        <v>2300</v>
      </c>
      <c r="P122" s="2170"/>
      <c r="Q122" s="2170"/>
      <c r="R122" s="2170"/>
      <c r="S122" s="2170"/>
      <c r="T122" s="2170"/>
      <c r="U122" s="2171"/>
      <c r="V122" s="1208"/>
      <c r="W122" s="1208"/>
      <c r="X122" s="2088" t="s">
        <v>2270</v>
      </c>
      <c r="Y122" s="2089"/>
      <c r="Z122" s="2089"/>
      <c r="AA122" s="2089"/>
      <c r="AB122" s="2089"/>
      <c r="AC122" s="2089"/>
      <c r="AD122" s="2089"/>
      <c r="AE122" s="2089"/>
      <c r="AF122" s="2089"/>
      <c r="AG122" s="2089"/>
      <c r="AH122" s="2089"/>
      <c r="AI122" s="2089"/>
      <c r="AJ122" s="2089"/>
      <c r="AK122" s="2089"/>
      <c r="AL122" s="2089"/>
      <c r="AM122" s="2089"/>
      <c r="AN122" s="2089"/>
      <c r="AO122" s="2089"/>
      <c r="AP122" s="2089"/>
      <c r="AQ122" s="2089"/>
      <c r="AR122" s="2089"/>
      <c r="AS122" s="2089"/>
      <c r="AT122" s="2089"/>
      <c r="AU122" s="2089"/>
      <c r="AV122" s="2089"/>
      <c r="AW122" s="2089"/>
      <c r="AX122" s="2089"/>
      <c r="AY122" s="2089"/>
      <c r="AZ122" s="2089"/>
      <c r="BA122" s="2089"/>
      <c r="BB122" s="2089"/>
      <c r="BC122" s="2089"/>
      <c r="BD122" s="2090"/>
      <c r="BE122" s="1215"/>
    </row>
    <row r="123" spans="1:57" ht="15.75" customHeight="1">
      <c r="A123" s="1208"/>
      <c r="B123" s="2140" t="s">
        <v>2284</v>
      </c>
      <c r="C123" s="2141"/>
      <c r="D123" s="2141"/>
      <c r="E123" s="2141"/>
      <c r="F123" s="2141"/>
      <c r="G123" s="2141"/>
      <c r="H123" s="2141"/>
      <c r="I123" s="2118">
        <v>0</v>
      </c>
      <c r="J123" s="2118"/>
      <c r="K123" s="2118"/>
      <c r="L123" s="2118"/>
      <c r="M123" s="2118"/>
      <c r="N123" s="2118"/>
      <c r="O123" s="2118">
        <v>0</v>
      </c>
      <c r="P123" s="2118"/>
      <c r="Q123" s="2118"/>
      <c r="R123" s="2118"/>
      <c r="S123" s="2118"/>
      <c r="T123" s="2118"/>
      <c r="U123" s="2119"/>
      <c r="V123" s="1208"/>
      <c r="W123" s="1208"/>
      <c r="X123" s="2088"/>
      <c r="Y123" s="2089"/>
      <c r="Z123" s="2089"/>
      <c r="AA123" s="2089"/>
      <c r="AB123" s="2089"/>
      <c r="AC123" s="2089"/>
      <c r="AD123" s="2089"/>
      <c r="AE123" s="2089"/>
      <c r="AF123" s="2089"/>
      <c r="AG123" s="2089"/>
      <c r="AH123" s="2089"/>
      <c r="AI123" s="2089"/>
      <c r="AJ123" s="2089"/>
      <c r="AK123" s="2089"/>
      <c r="AL123" s="2089"/>
      <c r="AM123" s="2089"/>
      <c r="AN123" s="2089"/>
      <c r="AO123" s="2089"/>
      <c r="AP123" s="2089"/>
      <c r="AQ123" s="2089"/>
      <c r="AR123" s="2089"/>
      <c r="AS123" s="2089"/>
      <c r="AT123" s="2089"/>
      <c r="AU123" s="2089"/>
      <c r="AV123" s="2089"/>
      <c r="AW123" s="2089"/>
      <c r="AX123" s="2089"/>
      <c r="AY123" s="2089"/>
      <c r="AZ123" s="2089"/>
      <c r="BA123" s="2089"/>
      <c r="BB123" s="2089"/>
      <c r="BC123" s="2089"/>
      <c r="BD123" s="2090"/>
      <c r="BE123" s="1215"/>
    </row>
    <row r="124" spans="1:57" ht="15.75" customHeight="1" thickBot="1">
      <c r="A124" s="1208"/>
      <c r="B124" s="2142" t="s">
        <v>2283</v>
      </c>
      <c r="C124" s="2143"/>
      <c r="D124" s="2143"/>
      <c r="E124" s="2143"/>
      <c r="F124" s="2143"/>
      <c r="G124" s="2143"/>
      <c r="H124" s="2143"/>
      <c r="I124" s="2116">
        <v>0</v>
      </c>
      <c r="J124" s="2116"/>
      <c r="K124" s="2116"/>
      <c r="L124" s="2116"/>
      <c r="M124" s="2116"/>
      <c r="N124" s="2116"/>
      <c r="O124" s="2144"/>
      <c r="P124" s="2144"/>
      <c r="Q124" s="2144"/>
      <c r="R124" s="2144"/>
      <c r="S124" s="2144"/>
      <c r="T124" s="2144"/>
      <c r="U124" s="2145"/>
      <c r="V124" s="1208"/>
      <c r="W124" s="1208"/>
      <c r="X124" s="2088"/>
      <c r="Y124" s="2089"/>
      <c r="Z124" s="2089"/>
      <c r="AA124" s="2089"/>
      <c r="AB124" s="2089"/>
      <c r="AC124" s="2089"/>
      <c r="AD124" s="2089"/>
      <c r="AE124" s="2089"/>
      <c r="AF124" s="2089"/>
      <c r="AG124" s="2089"/>
      <c r="AH124" s="2089"/>
      <c r="AI124" s="2089"/>
      <c r="AJ124" s="2089"/>
      <c r="AK124" s="2089"/>
      <c r="AL124" s="2089"/>
      <c r="AM124" s="2089"/>
      <c r="AN124" s="2089"/>
      <c r="AO124" s="2089"/>
      <c r="AP124" s="2089"/>
      <c r="AQ124" s="2089"/>
      <c r="AR124" s="2089"/>
      <c r="AS124" s="2089"/>
      <c r="AT124" s="2089"/>
      <c r="AU124" s="2089"/>
      <c r="AV124" s="2089"/>
      <c r="AW124" s="2089"/>
      <c r="AX124" s="2089"/>
      <c r="AY124" s="2089"/>
      <c r="AZ124" s="2089"/>
      <c r="BA124" s="2089"/>
      <c r="BB124" s="2089"/>
      <c r="BC124" s="2089"/>
      <c r="BD124" s="209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88"/>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090"/>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09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88"/>
      <c r="Y127" s="2089"/>
      <c r="Z127" s="2089"/>
      <c r="AA127" s="2089"/>
      <c r="AB127" s="2089"/>
      <c r="AC127" s="2089"/>
      <c r="AD127" s="2089"/>
      <c r="AE127" s="2089"/>
      <c r="AF127" s="2089"/>
      <c r="AG127" s="2089"/>
      <c r="AH127" s="2089"/>
      <c r="AI127" s="2089"/>
      <c r="AJ127" s="2089"/>
      <c r="AK127" s="2089"/>
      <c r="AL127" s="2089"/>
      <c r="AM127" s="2089"/>
      <c r="AN127" s="2089"/>
      <c r="AO127" s="2089"/>
      <c r="AP127" s="2089"/>
      <c r="AQ127" s="2089"/>
      <c r="AR127" s="2089"/>
      <c r="AS127" s="2089"/>
      <c r="AT127" s="2089"/>
      <c r="AU127" s="2089"/>
      <c r="AV127" s="2089"/>
      <c r="AW127" s="2089"/>
      <c r="AX127" s="2089"/>
      <c r="AY127" s="2089"/>
      <c r="AZ127" s="2089"/>
      <c r="BA127" s="2089"/>
      <c r="BB127" s="2089"/>
      <c r="BC127" s="2089"/>
      <c r="BD127" s="2090"/>
      <c r="BE127" s="1215"/>
    </row>
    <row r="128" spans="1:57" ht="15.75" customHeight="1">
      <c r="A128" s="1208"/>
      <c r="B128" s="1942" t="s">
        <v>2298</v>
      </c>
      <c r="C128" s="1943"/>
      <c r="D128" s="1943"/>
      <c r="E128" s="1943"/>
      <c r="F128" s="1943"/>
      <c r="G128" s="1943"/>
      <c r="H128" s="1943"/>
      <c r="I128" s="1943"/>
      <c r="J128" s="1943"/>
      <c r="K128" s="1943"/>
      <c r="L128" s="1943"/>
      <c r="M128" s="1943"/>
      <c r="N128" s="1943"/>
      <c r="O128" s="1943"/>
      <c r="P128" s="1943"/>
      <c r="Q128" s="1943"/>
      <c r="R128" s="1943"/>
      <c r="S128" s="1943"/>
      <c r="T128" s="1943"/>
      <c r="U128" s="1944"/>
      <c r="V128" s="1208"/>
      <c r="W128" s="1208"/>
      <c r="X128" s="2088"/>
      <c r="Y128" s="2089"/>
      <c r="Z128" s="2089"/>
      <c r="AA128" s="2089"/>
      <c r="AB128" s="2089"/>
      <c r="AC128" s="2089"/>
      <c r="AD128" s="2089"/>
      <c r="AE128" s="2089"/>
      <c r="AF128" s="2089"/>
      <c r="AG128" s="2089"/>
      <c r="AH128" s="2089"/>
      <c r="AI128" s="2089"/>
      <c r="AJ128" s="2089"/>
      <c r="AK128" s="2089"/>
      <c r="AL128" s="2089"/>
      <c r="AM128" s="2089"/>
      <c r="AN128" s="2089"/>
      <c r="AO128" s="2089"/>
      <c r="AP128" s="2089"/>
      <c r="AQ128" s="2089"/>
      <c r="AR128" s="2089"/>
      <c r="AS128" s="2089"/>
      <c r="AT128" s="2089"/>
      <c r="AU128" s="2089"/>
      <c r="AV128" s="2089"/>
      <c r="AW128" s="2089"/>
      <c r="AX128" s="2089"/>
      <c r="AY128" s="2089"/>
      <c r="AZ128" s="2089"/>
      <c r="BA128" s="2089"/>
      <c r="BB128" s="2089"/>
      <c r="BC128" s="2089"/>
      <c r="BD128" s="2090"/>
      <c r="BE128" s="1215"/>
    </row>
    <row r="129" spans="1:57" ht="15.75" customHeight="1">
      <c r="A129" s="1208"/>
      <c r="B129" s="2166"/>
      <c r="C129" s="2167"/>
      <c r="D129" s="2167"/>
      <c r="E129" s="2167"/>
      <c r="F129" s="2167"/>
      <c r="G129" s="2167"/>
      <c r="H129" s="2167"/>
      <c r="I129" s="2168" t="s">
        <v>2286</v>
      </c>
      <c r="J129" s="2168"/>
      <c r="K129" s="2168"/>
      <c r="L129" s="2168"/>
      <c r="M129" s="2168"/>
      <c r="N129" s="2168"/>
      <c r="O129" s="2168"/>
      <c r="P129" s="2168" t="s">
        <v>2285</v>
      </c>
      <c r="Q129" s="2168"/>
      <c r="R129" s="2168"/>
      <c r="S129" s="2168"/>
      <c r="T129" s="2168"/>
      <c r="U129" s="2169"/>
      <c r="V129" s="1208"/>
      <c r="W129" s="1208"/>
      <c r="X129" s="2088"/>
      <c r="Y129" s="2089"/>
      <c r="Z129" s="2089"/>
      <c r="AA129" s="2089"/>
      <c r="AB129" s="2089"/>
      <c r="AC129" s="2089"/>
      <c r="AD129" s="2089"/>
      <c r="AE129" s="2089"/>
      <c r="AF129" s="2089"/>
      <c r="AG129" s="2089"/>
      <c r="AH129" s="2089"/>
      <c r="AI129" s="2089"/>
      <c r="AJ129" s="2089"/>
      <c r="AK129" s="2089"/>
      <c r="AL129" s="2089"/>
      <c r="AM129" s="2089"/>
      <c r="AN129" s="2089"/>
      <c r="AO129" s="2089"/>
      <c r="AP129" s="2089"/>
      <c r="AQ129" s="2089"/>
      <c r="AR129" s="2089"/>
      <c r="AS129" s="2089"/>
      <c r="AT129" s="2089"/>
      <c r="AU129" s="2089"/>
      <c r="AV129" s="2089"/>
      <c r="AW129" s="2089"/>
      <c r="AX129" s="2089"/>
      <c r="AY129" s="2089"/>
      <c r="AZ129" s="2089"/>
      <c r="BA129" s="2089"/>
      <c r="BB129" s="2089"/>
      <c r="BC129" s="2089"/>
      <c r="BD129" s="2090"/>
      <c r="BE129" s="1215"/>
    </row>
    <row r="130" spans="1:57" ht="15.75" customHeight="1">
      <c r="A130" s="1208"/>
      <c r="B130" s="2166"/>
      <c r="C130" s="2167"/>
      <c r="D130" s="2167"/>
      <c r="E130" s="2167"/>
      <c r="F130" s="2167"/>
      <c r="G130" s="2167"/>
      <c r="H130" s="2167"/>
      <c r="I130" s="2168"/>
      <c r="J130" s="2168"/>
      <c r="K130" s="2168"/>
      <c r="L130" s="2168"/>
      <c r="M130" s="2168"/>
      <c r="N130" s="2168"/>
      <c r="O130" s="2168"/>
      <c r="P130" s="2168"/>
      <c r="Q130" s="2168"/>
      <c r="R130" s="2168"/>
      <c r="S130" s="2168"/>
      <c r="T130" s="2168"/>
      <c r="U130" s="2169"/>
      <c r="V130" s="1208"/>
      <c r="W130" s="1208"/>
      <c r="X130" s="2088"/>
      <c r="Y130" s="2089"/>
      <c r="Z130" s="2089"/>
      <c r="AA130" s="2089"/>
      <c r="AB130" s="2089"/>
      <c r="AC130" s="2089"/>
      <c r="AD130" s="2089"/>
      <c r="AE130" s="2089"/>
      <c r="AF130" s="2089"/>
      <c r="AG130" s="2089"/>
      <c r="AH130" s="2089"/>
      <c r="AI130" s="2089"/>
      <c r="AJ130" s="2089"/>
      <c r="AK130" s="2089"/>
      <c r="AL130" s="2089"/>
      <c r="AM130" s="2089"/>
      <c r="AN130" s="2089"/>
      <c r="AO130" s="2089"/>
      <c r="AP130" s="2089"/>
      <c r="AQ130" s="2089"/>
      <c r="AR130" s="2089"/>
      <c r="AS130" s="2089"/>
      <c r="AT130" s="2089"/>
      <c r="AU130" s="2089"/>
      <c r="AV130" s="2089"/>
      <c r="AW130" s="2089"/>
      <c r="AX130" s="2089"/>
      <c r="AY130" s="2089"/>
      <c r="AZ130" s="2089"/>
      <c r="BA130" s="2089"/>
      <c r="BB130" s="2089"/>
      <c r="BC130" s="2089"/>
      <c r="BD130" s="2090"/>
      <c r="BE130" s="1215"/>
    </row>
    <row r="131" spans="1:57" ht="15.75" customHeight="1">
      <c r="A131" s="1208"/>
      <c r="B131" s="2140" t="s">
        <v>2284</v>
      </c>
      <c r="C131" s="2141"/>
      <c r="D131" s="2141"/>
      <c r="E131" s="2141"/>
      <c r="F131" s="2141"/>
      <c r="G131" s="2141"/>
      <c r="H131" s="2141"/>
      <c r="I131" s="2118">
        <v>0</v>
      </c>
      <c r="J131" s="2118"/>
      <c r="K131" s="2118"/>
      <c r="L131" s="2118"/>
      <c r="M131" s="2118"/>
      <c r="N131" s="2118"/>
      <c r="O131" s="2118"/>
      <c r="P131" s="2118">
        <v>0</v>
      </c>
      <c r="Q131" s="2118"/>
      <c r="R131" s="2118"/>
      <c r="S131" s="2118"/>
      <c r="T131" s="2118"/>
      <c r="U131" s="2119"/>
      <c r="V131" s="1208"/>
      <c r="W131" s="1208"/>
      <c r="X131" s="2088"/>
      <c r="Y131" s="2089"/>
      <c r="Z131" s="2089"/>
      <c r="AA131" s="2089"/>
      <c r="AB131" s="2089"/>
      <c r="AC131" s="2089"/>
      <c r="AD131" s="2089"/>
      <c r="AE131" s="2089"/>
      <c r="AF131" s="2089"/>
      <c r="AG131" s="2089"/>
      <c r="AH131" s="2089"/>
      <c r="AI131" s="2089"/>
      <c r="AJ131" s="2089"/>
      <c r="AK131" s="2089"/>
      <c r="AL131" s="2089"/>
      <c r="AM131" s="2089"/>
      <c r="AN131" s="2089"/>
      <c r="AO131" s="2089"/>
      <c r="AP131" s="2089"/>
      <c r="AQ131" s="2089"/>
      <c r="AR131" s="2089"/>
      <c r="AS131" s="2089"/>
      <c r="AT131" s="2089"/>
      <c r="AU131" s="2089"/>
      <c r="AV131" s="2089"/>
      <c r="AW131" s="2089"/>
      <c r="AX131" s="2089"/>
      <c r="AY131" s="2089"/>
      <c r="AZ131" s="2089"/>
      <c r="BA131" s="2089"/>
      <c r="BB131" s="2089"/>
      <c r="BC131" s="2089"/>
      <c r="BD131" s="2090"/>
      <c r="BE131" s="1215"/>
    </row>
    <row r="132" spans="1:57" ht="15.75" customHeight="1" thickBot="1">
      <c r="A132" s="1208"/>
      <c r="B132" s="2142" t="s">
        <v>2283</v>
      </c>
      <c r="C132" s="2143"/>
      <c r="D132" s="2143"/>
      <c r="E132" s="2143"/>
      <c r="F132" s="2143"/>
      <c r="G132" s="2143"/>
      <c r="H132" s="2143"/>
      <c r="I132" s="2116">
        <v>0</v>
      </c>
      <c r="J132" s="2116"/>
      <c r="K132" s="2116"/>
      <c r="L132" s="2116"/>
      <c r="M132" s="2116"/>
      <c r="N132" s="2116"/>
      <c r="O132" s="2116"/>
      <c r="P132" s="2116">
        <v>0</v>
      </c>
      <c r="Q132" s="2116"/>
      <c r="R132" s="2116"/>
      <c r="S132" s="2116"/>
      <c r="T132" s="2116"/>
      <c r="U132" s="2117"/>
      <c r="V132" s="1208"/>
      <c r="W132" s="1208"/>
      <c r="X132" s="2091"/>
      <c r="Y132" s="2092"/>
      <c r="Z132" s="2092"/>
      <c r="AA132" s="2092"/>
      <c r="AB132" s="2092"/>
      <c r="AC132" s="2092"/>
      <c r="AD132" s="2092"/>
      <c r="AE132" s="2092"/>
      <c r="AF132" s="2092"/>
      <c r="AG132" s="2092"/>
      <c r="AH132" s="2092"/>
      <c r="AI132" s="2092"/>
      <c r="AJ132" s="2092"/>
      <c r="AK132" s="2092"/>
      <c r="AL132" s="2092"/>
      <c r="AM132" s="2092"/>
      <c r="AN132" s="2092"/>
      <c r="AO132" s="2092"/>
      <c r="AP132" s="2092"/>
      <c r="AQ132" s="2092"/>
      <c r="AR132" s="2092"/>
      <c r="AS132" s="2092"/>
      <c r="AT132" s="2092"/>
      <c r="AU132" s="2092"/>
      <c r="AV132" s="2092"/>
      <c r="AW132" s="2092"/>
      <c r="AX132" s="2092"/>
      <c r="AY132" s="2092"/>
      <c r="AZ132" s="2092"/>
      <c r="BA132" s="2092"/>
      <c r="BB132" s="2092"/>
      <c r="BC132" s="2092"/>
      <c r="BD132" s="209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64" t="s">
        <v>2297</v>
      </c>
      <c r="C134" s="2165"/>
      <c r="D134" s="2165"/>
      <c r="E134" s="2165"/>
      <c r="F134" s="2165"/>
      <c r="G134" s="2165"/>
      <c r="H134" s="2165"/>
      <c r="I134" s="2165"/>
      <c r="J134" s="2165"/>
      <c r="K134" s="2165"/>
      <c r="L134" s="2165"/>
      <c r="M134" s="2165"/>
      <c r="N134" s="2165"/>
      <c r="O134" s="2165"/>
      <c r="P134" s="2165"/>
      <c r="Q134" s="2165"/>
      <c r="R134" s="2165"/>
      <c r="S134" s="2165"/>
      <c r="T134" s="2165"/>
      <c r="U134" s="2165"/>
      <c r="V134" s="2165"/>
      <c r="W134" s="2165"/>
      <c r="X134" s="2165"/>
      <c r="Y134" s="2165"/>
      <c r="Z134" s="2165"/>
      <c r="AA134" s="2165"/>
      <c r="AB134" s="2165"/>
      <c r="AC134" s="2165"/>
      <c r="AD134" s="2165"/>
      <c r="AE134" s="2165"/>
      <c r="AF134" s="2165"/>
      <c r="AG134" s="2165"/>
      <c r="AH134" s="2065" t="s">
        <v>545</v>
      </c>
      <c r="AI134" s="2065"/>
      <c r="AJ134" s="2065"/>
      <c r="AK134" s="2065"/>
      <c r="AL134" s="2065"/>
      <c r="AM134" s="2065"/>
      <c r="AN134" s="2065"/>
      <c r="AO134" s="2065"/>
      <c r="AP134" s="2065"/>
      <c r="AQ134" s="2065"/>
      <c r="AR134" s="2065"/>
      <c r="AS134" s="2065"/>
      <c r="AT134" s="2065"/>
      <c r="AU134" s="2065"/>
      <c r="AV134" s="2065"/>
      <c r="AW134" s="2065"/>
      <c r="AX134" s="2066"/>
      <c r="AY134" s="1208"/>
      <c r="AZ134" s="1208"/>
      <c r="BA134" s="1208"/>
      <c r="BB134" s="1208"/>
      <c r="BC134" s="1208"/>
      <c r="BD134" s="1208"/>
      <c r="BE134" s="1215"/>
    </row>
    <row r="135" spans="1:57" ht="15.75" customHeight="1" thickBot="1">
      <c r="A135" s="1208"/>
      <c r="B135" s="2151" t="s">
        <v>2296</v>
      </c>
      <c r="C135" s="2152"/>
      <c r="D135" s="2152"/>
      <c r="E135" s="2152"/>
      <c r="F135" s="2152"/>
      <c r="G135" s="2152"/>
      <c r="H135" s="2152"/>
      <c r="I135" s="2152"/>
      <c r="J135" s="2152"/>
      <c r="K135" s="2152"/>
      <c r="L135" s="2152"/>
      <c r="M135" s="2152"/>
      <c r="N135" s="2152"/>
      <c r="O135" s="2152"/>
      <c r="P135" s="2152"/>
      <c r="Q135" s="2152"/>
      <c r="R135" s="2152"/>
      <c r="S135" s="2152"/>
      <c r="T135" s="2152"/>
      <c r="U135" s="2152"/>
      <c r="V135" s="2152"/>
      <c r="W135" s="2152"/>
      <c r="X135" s="2152"/>
      <c r="Y135" s="2152"/>
      <c r="Z135" s="2152"/>
      <c r="AA135" s="2152"/>
      <c r="AB135" s="2152"/>
      <c r="AC135" s="2152"/>
      <c r="AD135" s="2152"/>
      <c r="AE135" s="2152"/>
      <c r="AF135" s="2152"/>
      <c r="AG135" s="2153"/>
      <c r="AH135" s="2120"/>
      <c r="AI135" s="2121"/>
      <c r="AJ135" s="2121"/>
      <c r="AK135" s="2121"/>
      <c r="AL135" s="2121"/>
      <c r="AM135" s="2121"/>
      <c r="AN135" s="2121"/>
      <c r="AO135" s="2121"/>
      <c r="AP135" s="2121"/>
      <c r="AQ135" s="2121"/>
      <c r="AR135" s="2121"/>
      <c r="AS135" s="2121"/>
      <c r="AT135" s="2121"/>
      <c r="AU135" s="2121"/>
      <c r="AV135" s="2121"/>
      <c r="AW135" s="2121"/>
      <c r="AX135" s="2122"/>
      <c r="AY135" s="1208"/>
      <c r="AZ135" s="1208"/>
      <c r="BA135" s="1208"/>
      <c r="BB135" s="1208"/>
      <c r="BC135" s="1208"/>
      <c r="BD135" s="1208"/>
      <c r="BE135" s="1215"/>
    </row>
    <row r="136" spans="1:57" ht="15.75" customHeight="1">
      <c r="A136" s="1208"/>
      <c r="B136" s="2151" t="s">
        <v>2295</v>
      </c>
      <c r="C136" s="2152"/>
      <c r="D136" s="2152"/>
      <c r="E136" s="2152"/>
      <c r="F136" s="2152"/>
      <c r="G136" s="2152"/>
      <c r="H136" s="2152"/>
      <c r="I136" s="2152"/>
      <c r="J136" s="2152"/>
      <c r="K136" s="2152"/>
      <c r="L136" s="2152"/>
      <c r="M136" s="2152"/>
      <c r="N136" s="2152"/>
      <c r="O136" s="2152"/>
      <c r="P136" s="2152"/>
      <c r="Q136" s="2152"/>
      <c r="R136" s="2152"/>
      <c r="S136" s="2152"/>
      <c r="T136" s="2152"/>
      <c r="U136" s="2152"/>
      <c r="V136" s="2152"/>
      <c r="W136" s="2152"/>
      <c r="X136" s="2152"/>
      <c r="Y136" s="2152"/>
      <c r="Z136" s="2152"/>
      <c r="AA136" s="2152"/>
      <c r="AB136" s="2152"/>
      <c r="AC136" s="2152"/>
      <c r="AD136" s="2152"/>
      <c r="AE136" s="2152"/>
      <c r="AF136" s="2152"/>
      <c r="AG136" s="2153"/>
      <c r="AH136" s="2065" t="s">
        <v>545</v>
      </c>
      <c r="AI136" s="2065"/>
      <c r="AJ136" s="2065"/>
      <c r="AK136" s="2065"/>
      <c r="AL136" s="2065"/>
      <c r="AM136" s="2065"/>
      <c r="AN136" s="2065"/>
      <c r="AO136" s="2065"/>
      <c r="AP136" s="2065"/>
      <c r="AQ136" s="2065"/>
      <c r="AR136" s="2065"/>
      <c r="AS136" s="2065"/>
      <c r="AT136" s="2065"/>
      <c r="AU136" s="2065"/>
      <c r="AV136" s="2065"/>
      <c r="AW136" s="2065"/>
      <c r="AX136" s="2066"/>
      <c r="AY136" s="1208"/>
      <c r="AZ136" s="1208"/>
      <c r="BA136" s="1208"/>
      <c r="BB136" s="1208"/>
      <c r="BC136" s="1208"/>
      <c r="BD136" s="1208"/>
      <c r="BE136" s="1215"/>
    </row>
    <row r="137" spans="1:57" ht="15.75" customHeight="1">
      <c r="A137" s="1208"/>
      <c r="B137" s="2154" t="s">
        <v>2294</v>
      </c>
      <c r="C137" s="2155"/>
      <c r="D137" s="2155"/>
      <c r="E137" s="2155"/>
      <c r="F137" s="2155"/>
      <c r="G137" s="2155"/>
      <c r="H137" s="2155"/>
      <c r="I137" s="2155"/>
      <c r="J137" s="2155"/>
      <c r="K137" s="2155"/>
      <c r="L137" s="2155"/>
      <c r="M137" s="2155"/>
      <c r="N137" s="2155"/>
      <c r="O137" s="2155"/>
      <c r="P137" s="2155"/>
      <c r="Q137" s="2155"/>
      <c r="R137" s="2156" t="s">
        <v>2293</v>
      </c>
      <c r="S137" s="2156"/>
      <c r="T137" s="2156"/>
      <c r="U137" s="2156"/>
      <c r="V137" s="2156"/>
      <c r="W137" s="2156"/>
      <c r="X137" s="2156"/>
      <c r="Y137" s="2156"/>
      <c r="Z137" s="2156"/>
      <c r="AA137" s="2156"/>
      <c r="AB137" s="2156"/>
      <c r="AC137" s="2156"/>
      <c r="AD137" s="2156"/>
      <c r="AE137" s="2156"/>
      <c r="AF137" s="2156"/>
      <c r="AG137" s="2156"/>
      <c r="AH137" s="2156"/>
      <c r="AI137" s="2156"/>
      <c r="AJ137" s="2156"/>
      <c r="AK137" s="2156"/>
      <c r="AL137" s="2156"/>
      <c r="AM137" s="2156"/>
      <c r="AN137" s="2156"/>
      <c r="AO137" s="2156"/>
      <c r="AP137" s="2156"/>
      <c r="AQ137" s="2156"/>
      <c r="AR137" s="2156"/>
      <c r="AS137" s="2156"/>
      <c r="AT137" s="2156"/>
      <c r="AU137" s="2156"/>
      <c r="AV137" s="2156"/>
      <c r="AW137" s="2156"/>
      <c r="AX137" s="2157"/>
      <c r="AY137" s="1208"/>
      <c r="AZ137" s="1208"/>
      <c r="BA137" s="1208"/>
      <c r="BB137" s="1208"/>
      <c r="BC137" s="1208" t="s">
        <v>250</v>
      </c>
      <c r="BD137" s="1208"/>
      <c r="BE137" s="1215"/>
    </row>
    <row r="138" spans="1:57" ht="15.75" customHeight="1">
      <c r="A138" s="1208"/>
      <c r="B138" s="2158" t="s">
        <v>2292</v>
      </c>
      <c r="C138" s="2159"/>
      <c r="D138" s="2159"/>
      <c r="E138" s="2159"/>
      <c r="F138" s="2159"/>
      <c r="G138" s="2159"/>
      <c r="H138" s="2159"/>
      <c r="I138" s="2159"/>
      <c r="J138" s="2159"/>
      <c r="K138" s="2159"/>
      <c r="L138" s="2159"/>
      <c r="M138" s="2159"/>
      <c r="N138" s="2159"/>
      <c r="O138" s="2159"/>
      <c r="P138" s="2159"/>
      <c r="Q138" s="2159"/>
      <c r="R138" s="2159"/>
      <c r="S138" s="2159"/>
      <c r="T138" s="2159"/>
      <c r="U138" s="2159"/>
      <c r="V138" s="2159"/>
      <c r="W138" s="2159"/>
      <c r="X138" s="2159"/>
      <c r="Y138" s="2159"/>
      <c r="Z138" s="2159"/>
      <c r="AA138" s="2159"/>
      <c r="AB138" s="2159"/>
      <c r="AC138" s="2159"/>
      <c r="AD138" s="2159"/>
      <c r="AE138" s="2159"/>
      <c r="AF138" s="2159"/>
      <c r="AG138" s="2159"/>
      <c r="AH138" s="2159"/>
      <c r="AI138" s="2159"/>
      <c r="AJ138" s="2159"/>
      <c r="AK138" s="2159"/>
      <c r="AL138" s="2159"/>
      <c r="AM138" s="2159"/>
      <c r="AN138" s="2159"/>
      <c r="AO138" s="2159"/>
      <c r="AP138" s="2159"/>
      <c r="AQ138" s="2159"/>
      <c r="AR138" s="2159"/>
      <c r="AS138" s="2159"/>
      <c r="AT138" s="2159"/>
      <c r="AU138" s="2159"/>
      <c r="AV138" s="2159"/>
      <c r="AW138" s="2159"/>
      <c r="AX138" s="2160"/>
      <c r="AY138" s="1208"/>
      <c r="AZ138" s="1208"/>
      <c r="BA138" s="1208"/>
      <c r="BB138" s="1208"/>
      <c r="BC138" s="1208"/>
      <c r="BD138" s="1208"/>
      <c r="BE138" s="1215"/>
    </row>
    <row r="139" spans="1:57" ht="15.75" customHeight="1">
      <c r="A139" s="1208"/>
      <c r="B139" s="2158"/>
      <c r="C139" s="2159"/>
      <c r="D139" s="2159"/>
      <c r="E139" s="2159"/>
      <c r="F139" s="2159"/>
      <c r="G139" s="2159"/>
      <c r="H139" s="2159"/>
      <c r="I139" s="2159"/>
      <c r="J139" s="2159"/>
      <c r="K139" s="2159"/>
      <c r="L139" s="2159"/>
      <c r="M139" s="2159"/>
      <c r="N139" s="2159"/>
      <c r="O139" s="2159"/>
      <c r="P139" s="2159"/>
      <c r="Q139" s="2159"/>
      <c r="R139" s="2159"/>
      <c r="S139" s="2159"/>
      <c r="T139" s="2159"/>
      <c r="U139" s="2159"/>
      <c r="V139" s="2159"/>
      <c r="W139" s="2159"/>
      <c r="X139" s="2159"/>
      <c r="Y139" s="2159"/>
      <c r="Z139" s="2159"/>
      <c r="AA139" s="2159"/>
      <c r="AB139" s="2159"/>
      <c r="AC139" s="2159"/>
      <c r="AD139" s="2159"/>
      <c r="AE139" s="2159"/>
      <c r="AF139" s="2159"/>
      <c r="AG139" s="2159"/>
      <c r="AH139" s="2159"/>
      <c r="AI139" s="2159"/>
      <c r="AJ139" s="2159"/>
      <c r="AK139" s="2159"/>
      <c r="AL139" s="2159"/>
      <c r="AM139" s="2159"/>
      <c r="AN139" s="2159"/>
      <c r="AO139" s="2159"/>
      <c r="AP139" s="2159"/>
      <c r="AQ139" s="2159"/>
      <c r="AR139" s="2159"/>
      <c r="AS139" s="2159"/>
      <c r="AT139" s="2159"/>
      <c r="AU139" s="2159"/>
      <c r="AV139" s="2159"/>
      <c r="AW139" s="2159"/>
      <c r="AX139" s="2160"/>
      <c r="AY139" s="1208"/>
      <c r="AZ139" s="1208"/>
      <c r="BA139" s="1208"/>
      <c r="BB139" s="1208"/>
      <c r="BC139" s="1208"/>
      <c r="BD139" s="1208"/>
      <c r="BE139" s="1215"/>
    </row>
    <row r="140" spans="1:57" ht="15.75" customHeight="1">
      <c r="A140" s="1208"/>
      <c r="B140" s="2158"/>
      <c r="C140" s="2159"/>
      <c r="D140" s="2159"/>
      <c r="E140" s="2159"/>
      <c r="F140" s="2159"/>
      <c r="G140" s="2159"/>
      <c r="H140" s="2159"/>
      <c r="I140" s="2159"/>
      <c r="J140" s="2159"/>
      <c r="K140" s="2159"/>
      <c r="L140" s="2159"/>
      <c r="M140" s="2159"/>
      <c r="N140" s="2159"/>
      <c r="O140" s="2159"/>
      <c r="P140" s="2159"/>
      <c r="Q140" s="2159"/>
      <c r="R140" s="2159"/>
      <c r="S140" s="2159"/>
      <c r="T140" s="2159"/>
      <c r="U140" s="2159"/>
      <c r="V140" s="2159"/>
      <c r="W140" s="2159"/>
      <c r="X140" s="2159"/>
      <c r="Y140" s="2159"/>
      <c r="Z140" s="2159"/>
      <c r="AA140" s="2159"/>
      <c r="AB140" s="2159"/>
      <c r="AC140" s="2159"/>
      <c r="AD140" s="2159"/>
      <c r="AE140" s="2159"/>
      <c r="AF140" s="2159"/>
      <c r="AG140" s="2159"/>
      <c r="AH140" s="2159"/>
      <c r="AI140" s="2159"/>
      <c r="AJ140" s="2159"/>
      <c r="AK140" s="2159"/>
      <c r="AL140" s="2159"/>
      <c r="AM140" s="2159"/>
      <c r="AN140" s="2159"/>
      <c r="AO140" s="2159"/>
      <c r="AP140" s="2159"/>
      <c r="AQ140" s="2159"/>
      <c r="AR140" s="2159"/>
      <c r="AS140" s="2159"/>
      <c r="AT140" s="2159"/>
      <c r="AU140" s="2159"/>
      <c r="AV140" s="2159"/>
      <c r="AW140" s="2159"/>
      <c r="AX140" s="2160"/>
      <c r="AY140" s="1208"/>
      <c r="AZ140" s="1208"/>
      <c r="BA140" s="1208"/>
      <c r="BB140" s="1208"/>
      <c r="BC140" s="1208"/>
      <c r="BD140" s="1208"/>
      <c r="BE140" s="1215"/>
    </row>
    <row r="141" spans="1:57" ht="15.75" customHeight="1">
      <c r="A141" s="1208"/>
      <c r="B141" s="2158"/>
      <c r="C141" s="2159"/>
      <c r="D141" s="2159"/>
      <c r="E141" s="2159"/>
      <c r="F141" s="2159"/>
      <c r="G141" s="2159"/>
      <c r="H141" s="2159"/>
      <c r="I141" s="2159"/>
      <c r="J141" s="2159"/>
      <c r="K141" s="2159"/>
      <c r="L141" s="2159"/>
      <c r="M141" s="2159"/>
      <c r="N141" s="2159"/>
      <c r="O141" s="2159"/>
      <c r="P141" s="2159"/>
      <c r="Q141" s="2159"/>
      <c r="R141" s="2159"/>
      <c r="S141" s="2159"/>
      <c r="T141" s="2159"/>
      <c r="U141" s="2159"/>
      <c r="V141" s="2159"/>
      <c r="W141" s="2159"/>
      <c r="X141" s="2159"/>
      <c r="Y141" s="2159"/>
      <c r="Z141" s="2159"/>
      <c r="AA141" s="2159"/>
      <c r="AB141" s="2159"/>
      <c r="AC141" s="2159"/>
      <c r="AD141" s="2159"/>
      <c r="AE141" s="2159"/>
      <c r="AF141" s="2159"/>
      <c r="AG141" s="2159"/>
      <c r="AH141" s="2159"/>
      <c r="AI141" s="2159"/>
      <c r="AJ141" s="2159"/>
      <c r="AK141" s="2159"/>
      <c r="AL141" s="2159"/>
      <c r="AM141" s="2159"/>
      <c r="AN141" s="2159"/>
      <c r="AO141" s="2159"/>
      <c r="AP141" s="2159"/>
      <c r="AQ141" s="2159"/>
      <c r="AR141" s="2159"/>
      <c r="AS141" s="2159"/>
      <c r="AT141" s="2159"/>
      <c r="AU141" s="2159"/>
      <c r="AV141" s="2159"/>
      <c r="AW141" s="2159"/>
      <c r="AX141" s="2160"/>
      <c r="AY141" s="1208"/>
      <c r="AZ141" s="1208"/>
      <c r="BA141" s="1208"/>
      <c r="BB141" s="1208"/>
      <c r="BC141" s="1208"/>
      <c r="BD141" s="1208"/>
      <c r="BE141" s="1215"/>
    </row>
    <row r="142" spans="1:57" ht="15.75" customHeight="1">
      <c r="A142" s="1208"/>
      <c r="B142" s="2158"/>
      <c r="C142" s="2159"/>
      <c r="D142" s="2159"/>
      <c r="E142" s="2159"/>
      <c r="F142" s="2159"/>
      <c r="G142" s="2159"/>
      <c r="H142" s="2159"/>
      <c r="I142" s="2159"/>
      <c r="J142" s="2159"/>
      <c r="K142" s="2159"/>
      <c r="L142" s="2159"/>
      <c r="M142" s="2159"/>
      <c r="N142" s="2159"/>
      <c r="O142" s="2159"/>
      <c r="P142" s="2159"/>
      <c r="Q142" s="2159"/>
      <c r="R142" s="2159"/>
      <c r="S142" s="2159"/>
      <c r="T142" s="2159"/>
      <c r="U142" s="2159"/>
      <c r="V142" s="2159"/>
      <c r="W142" s="2159"/>
      <c r="X142" s="2159"/>
      <c r="Y142" s="2159"/>
      <c r="Z142" s="2159"/>
      <c r="AA142" s="2159"/>
      <c r="AB142" s="2159"/>
      <c r="AC142" s="2159"/>
      <c r="AD142" s="2159"/>
      <c r="AE142" s="2159"/>
      <c r="AF142" s="2159"/>
      <c r="AG142" s="2159"/>
      <c r="AH142" s="2159"/>
      <c r="AI142" s="2159"/>
      <c r="AJ142" s="2159"/>
      <c r="AK142" s="2159"/>
      <c r="AL142" s="2159"/>
      <c r="AM142" s="2159"/>
      <c r="AN142" s="2159"/>
      <c r="AO142" s="2159"/>
      <c r="AP142" s="2159"/>
      <c r="AQ142" s="2159"/>
      <c r="AR142" s="2159"/>
      <c r="AS142" s="2159"/>
      <c r="AT142" s="2159"/>
      <c r="AU142" s="2159"/>
      <c r="AV142" s="2159"/>
      <c r="AW142" s="2159"/>
      <c r="AX142" s="2160"/>
      <c r="AY142" s="1208"/>
      <c r="AZ142" s="1208"/>
      <c r="BA142" s="1208"/>
      <c r="BB142" s="1208"/>
      <c r="BC142" s="1208"/>
      <c r="BD142" s="1208"/>
      <c r="BE142" s="1215"/>
    </row>
    <row r="143" spans="1:57" ht="15.75" customHeight="1">
      <c r="A143" s="1208"/>
      <c r="B143" s="2158"/>
      <c r="C143" s="2159"/>
      <c r="D143" s="2159"/>
      <c r="E143" s="2159"/>
      <c r="F143" s="2159"/>
      <c r="G143" s="2159"/>
      <c r="H143" s="2159"/>
      <c r="I143" s="2159"/>
      <c r="J143" s="2159"/>
      <c r="K143" s="2159"/>
      <c r="L143" s="2159"/>
      <c r="M143" s="2159"/>
      <c r="N143" s="2159"/>
      <c r="O143" s="2159"/>
      <c r="P143" s="2159"/>
      <c r="Q143" s="2159"/>
      <c r="R143" s="2159"/>
      <c r="S143" s="2159"/>
      <c r="T143" s="2159"/>
      <c r="U143" s="2159"/>
      <c r="V143" s="2159"/>
      <c r="W143" s="2159"/>
      <c r="X143" s="2159"/>
      <c r="Y143" s="2159"/>
      <c r="Z143" s="2159"/>
      <c r="AA143" s="2159"/>
      <c r="AB143" s="2159"/>
      <c r="AC143" s="2159"/>
      <c r="AD143" s="2159"/>
      <c r="AE143" s="2159"/>
      <c r="AF143" s="2159"/>
      <c r="AG143" s="2159"/>
      <c r="AH143" s="2159"/>
      <c r="AI143" s="2159"/>
      <c r="AJ143" s="2159"/>
      <c r="AK143" s="2159"/>
      <c r="AL143" s="2159"/>
      <c r="AM143" s="2159"/>
      <c r="AN143" s="2159"/>
      <c r="AO143" s="2159"/>
      <c r="AP143" s="2159"/>
      <c r="AQ143" s="2159"/>
      <c r="AR143" s="2159"/>
      <c r="AS143" s="2159"/>
      <c r="AT143" s="2159"/>
      <c r="AU143" s="2159"/>
      <c r="AV143" s="2159"/>
      <c r="AW143" s="2159"/>
      <c r="AX143" s="2160"/>
      <c r="AY143" s="1208"/>
      <c r="AZ143" s="1208"/>
      <c r="BA143" s="1208"/>
      <c r="BB143" s="1208"/>
      <c r="BC143" s="1208"/>
      <c r="BD143" s="1208"/>
      <c r="BE143" s="1215"/>
    </row>
    <row r="144" spans="1:57" ht="15.75" customHeight="1">
      <c r="A144" s="1208"/>
      <c r="B144" s="2158"/>
      <c r="C144" s="2159"/>
      <c r="D144" s="2159"/>
      <c r="E144" s="2159"/>
      <c r="F144" s="2159"/>
      <c r="G144" s="2159"/>
      <c r="H144" s="2159"/>
      <c r="I144" s="2159"/>
      <c r="J144" s="2159"/>
      <c r="K144" s="2159"/>
      <c r="L144" s="2159"/>
      <c r="M144" s="2159"/>
      <c r="N144" s="2159"/>
      <c r="O144" s="2159"/>
      <c r="P144" s="2159"/>
      <c r="Q144" s="2159"/>
      <c r="R144" s="2159"/>
      <c r="S144" s="2159"/>
      <c r="T144" s="2159"/>
      <c r="U144" s="2159"/>
      <c r="V144" s="2159"/>
      <c r="W144" s="2159"/>
      <c r="X144" s="2159"/>
      <c r="Y144" s="2159"/>
      <c r="Z144" s="2159"/>
      <c r="AA144" s="2159"/>
      <c r="AB144" s="2159"/>
      <c r="AC144" s="2159"/>
      <c r="AD144" s="2159"/>
      <c r="AE144" s="2159"/>
      <c r="AF144" s="2159"/>
      <c r="AG144" s="2159"/>
      <c r="AH144" s="2159"/>
      <c r="AI144" s="2159"/>
      <c r="AJ144" s="2159"/>
      <c r="AK144" s="2159"/>
      <c r="AL144" s="2159"/>
      <c r="AM144" s="2159"/>
      <c r="AN144" s="2159"/>
      <c r="AO144" s="2159"/>
      <c r="AP144" s="2159"/>
      <c r="AQ144" s="2159"/>
      <c r="AR144" s="2159"/>
      <c r="AS144" s="2159"/>
      <c r="AT144" s="2159"/>
      <c r="AU144" s="2159"/>
      <c r="AV144" s="2159"/>
      <c r="AW144" s="2159"/>
      <c r="AX144" s="2160"/>
      <c r="AY144" s="1208"/>
      <c r="AZ144" s="1208"/>
      <c r="BA144" s="1208"/>
      <c r="BB144" s="1208"/>
      <c r="BC144" s="1208"/>
      <c r="BD144" s="1208"/>
      <c r="BE144" s="1215"/>
    </row>
    <row r="145" spans="1:57" ht="15.75" customHeight="1">
      <c r="A145" s="1208"/>
      <c r="B145" s="2158"/>
      <c r="C145" s="2159"/>
      <c r="D145" s="2159"/>
      <c r="E145" s="2159"/>
      <c r="F145" s="2159"/>
      <c r="G145" s="2159"/>
      <c r="H145" s="2159"/>
      <c r="I145" s="2159"/>
      <c r="J145" s="2159"/>
      <c r="K145" s="2159"/>
      <c r="L145" s="2159"/>
      <c r="M145" s="2159"/>
      <c r="N145" s="2159"/>
      <c r="O145" s="2159"/>
      <c r="P145" s="2159"/>
      <c r="Q145" s="2159"/>
      <c r="R145" s="2159"/>
      <c r="S145" s="2159"/>
      <c r="T145" s="2159"/>
      <c r="U145" s="2159"/>
      <c r="V145" s="2159"/>
      <c r="W145" s="2159"/>
      <c r="X145" s="2159"/>
      <c r="Y145" s="2159"/>
      <c r="Z145" s="2159"/>
      <c r="AA145" s="2159"/>
      <c r="AB145" s="2159"/>
      <c r="AC145" s="2159"/>
      <c r="AD145" s="2159"/>
      <c r="AE145" s="2159"/>
      <c r="AF145" s="2159"/>
      <c r="AG145" s="2159"/>
      <c r="AH145" s="2159"/>
      <c r="AI145" s="2159"/>
      <c r="AJ145" s="2159"/>
      <c r="AK145" s="2159"/>
      <c r="AL145" s="2159"/>
      <c r="AM145" s="2159"/>
      <c r="AN145" s="2159"/>
      <c r="AO145" s="2159"/>
      <c r="AP145" s="2159"/>
      <c r="AQ145" s="2159"/>
      <c r="AR145" s="2159"/>
      <c r="AS145" s="2159"/>
      <c r="AT145" s="2159"/>
      <c r="AU145" s="2159"/>
      <c r="AV145" s="2159"/>
      <c r="AW145" s="2159"/>
      <c r="AX145" s="2160"/>
      <c r="AY145" s="1208"/>
      <c r="AZ145" s="1208"/>
      <c r="BA145" s="1208"/>
      <c r="BB145" s="1208"/>
      <c r="BC145" s="1208"/>
      <c r="BD145" s="1208"/>
      <c r="BE145" s="1215"/>
    </row>
    <row r="146" spans="1:57" ht="15.75" customHeight="1">
      <c r="A146" s="1208"/>
      <c r="B146" s="2158"/>
      <c r="C146" s="2159"/>
      <c r="D146" s="2159"/>
      <c r="E146" s="2159"/>
      <c r="F146" s="2159"/>
      <c r="G146" s="2159"/>
      <c r="H146" s="2159"/>
      <c r="I146" s="2159"/>
      <c r="J146" s="2159"/>
      <c r="K146" s="2159"/>
      <c r="L146" s="2159"/>
      <c r="M146" s="2159"/>
      <c r="N146" s="2159"/>
      <c r="O146" s="2159"/>
      <c r="P146" s="2159"/>
      <c r="Q146" s="2159"/>
      <c r="R146" s="2159"/>
      <c r="S146" s="2159"/>
      <c r="T146" s="2159"/>
      <c r="U146" s="2159"/>
      <c r="V146" s="2159"/>
      <c r="W146" s="2159"/>
      <c r="X146" s="2159"/>
      <c r="Y146" s="2159"/>
      <c r="Z146" s="2159"/>
      <c r="AA146" s="2159"/>
      <c r="AB146" s="2159"/>
      <c r="AC146" s="2159"/>
      <c r="AD146" s="2159"/>
      <c r="AE146" s="2159"/>
      <c r="AF146" s="2159"/>
      <c r="AG146" s="2159"/>
      <c r="AH146" s="2159"/>
      <c r="AI146" s="2159"/>
      <c r="AJ146" s="2159"/>
      <c r="AK146" s="2159"/>
      <c r="AL146" s="2159"/>
      <c r="AM146" s="2159"/>
      <c r="AN146" s="2159"/>
      <c r="AO146" s="2159"/>
      <c r="AP146" s="2159"/>
      <c r="AQ146" s="2159"/>
      <c r="AR146" s="2159"/>
      <c r="AS146" s="2159"/>
      <c r="AT146" s="2159"/>
      <c r="AU146" s="2159"/>
      <c r="AV146" s="2159"/>
      <c r="AW146" s="2159"/>
      <c r="AX146" s="2160"/>
      <c r="AY146" s="1208"/>
      <c r="AZ146" s="1208"/>
      <c r="BA146" s="1208"/>
      <c r="BB146" s="1208"/>
      <c r="BC146" s="1208"/>
      <c r="BD146" s="1208"/>
      <c r="BE146" s="1215"/>
    </row>
    <row r="147" spans="1:57" ht="15.75" customHeight="1" thickBot="1">
      <c r="A147" s="1208"/>
      <c r="B147" s="2161"/>
      <c r="C147" s="2162"/>
      <c r="D147" s="2162"/>
      <c r="E147" s="2162"/>
      <c r="F147" s="2162"/>
      <c r="G147" s="2162"/>
      <c r="H147" s="2162"/>
      <c r="I147" s="2162"/>
      <c r="J147" s="2162"/>
      <c r="K147" s="2162"/>
      <c r="L147" s="2162"/>
      <c r="M147" s="2162"/>
      <c r="N147" s="2162"/>
      <c r="O147" s="2162"/>
      <c r="P147" s="2162"/>
      <c r="Q147" s="2162"/>
      <c r="R147" s="2162"/>
      <c r="S147" s="2162"/>
      <c r="T147" s="2162"/>
      <c r="U147" s="2162"/>
      <c r="V147" s="2162"/>
      <c r="W147" s="2162"/>
      <c r="X147" s="2162"/>
      <c r="Y147" s="2162"/>
      <c r="Z147" s="2162"/>
      <c r="AA147" s="2162"/>
      <c r="AB147" s="2162"/>
      <c r="AC147" s="2162"/>
      <c r="AD147" s="2162"/>
      <c r="AE147" s="2162"/>
      <c r="AF147" s="2162"/>
      <c r="AG147" s="2162"/>
      <c r="AH147" s="2162"/>
      <c r="AI147" s="2162"/>
      <c r="AJ147" s="2162"/>
      <c r="AK147" s="2162"/>
      <c r="AL147" s="2162"/>
      <c r="AM147" s="2162"/>
      <c r="AN147" s="2162"/>
      <c r="AO147" s="2162"/>
      <c r="AP147" s="2162"/>
      <c r="AQ147" s="2162"/>
      <c r="AR147" s="2162"/>
      <c r="AS147" s="2162"/>
      <c r="AT147" s="2162"/>
      <c r="AU147" s="2162"/>
      <c r="AV147" s="2162"/>
      <c r="AW147" s="2162"/>
      <c r="AX147" s="2163"/>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37" t="s">
        <v>2289</v>
      </c>
      <c r="C151" s="2038"/>
      <c r="D151" s="2038"/>
      <c r="E151" s="2038"/>
      <c r="F151" s="2038"/>
      <c r="G151" s="2038"/>
      <c r="H151" s="2038"/>
      <c r="I151" s="2038"/>
      <c r="J151" s="2038"/>
      <c r="K151" s="2038"/>
      <c r="L151" s="2038"/>
      <c r="M151" s="2038"/>
      <c r="N151" s="2038"/>
      <c r="O151" s="2038"/>
      <c r="P151" s="2038"/>
      <c r="Q151" s="2038"/>
      <c r="R151" s="2038"/>
      <c r="S151" s="2038"/>
      <c r="T151" s="2038"/>
      <c r="U151" s="2039"/>
      <c r="V151" s="1208"/>
      <c r="W151" s="1209"/>
      <c r="X151" s="2037" t="s">
        <v>2288</v>
      </c>
      <c r="Y151" s="2038"/>
      <c r="Z151" s="2038"/>
      <c r="AA151" s="2038"/>
      <c r="AB151" s="2038"/>
      <c r="AC151" s="2038"/>
      <c r="AD151" s="2038"/>
      <c r="AE151" s="2038"/>
      <c r="AF151" s="2038"/>
      <c r="AG151" s="2038"/>
      <c r="AH151" s="2038"/>
      <c r="AI151" s="2038"/>
      <c r="AJ151" s="2038"/>
      <c r="AK151" s="2038"/>
      <c r="AL151" s="2038"/>
      <c r="AM151" s="2038"/>
      <c r="AN151" s="2038"/>
      <c r="AO151" s="2038"/>
      <c r="AP151" s="2038"/>
      <c r="AQ151" s="2039"/>
      <c r="AR151" s="1208"/>
      <c r="AS151" s="1208"/>
      <c r="AT151" s="1208"/>
      <c r="AU151" s="1208"/>
      <c r="AV151" s="1208"/>
      <c r="AW151" s="1208"/>
      <c r="AX151" s="1208"/>
      <c r="AY151" s="1208"/>
      <c r="AZ151" s="1208"/>
      <c r="BA151" s="1208"/>
      <c r="BB151" s="1208"/>
      <c r="BC151" s="1208"/>
      <c r="BD151" s="1208"/>
      <c r="BE151" s="1215"/>
    </row>
    <row r="152" spans="1:57" ht="15.75" customHeight="1">
      <c r="A152" s="1208"/>
      <c r="B152" s="2166"/>
      <c r="C152" s="2167"/>
      <c r="D152" s="2167"/>
      <c r="E152" s="2167"/>
      <c r="F152" s="2167"/>
      <c r="G152" s="2167"/>
      <c r="H152" s="2167"/>
      <c r="I152" s="2168" t="s">
        <v>2286</v>
      </c>
      <c r="J152" s="2168"/>
      <c r="K152" s="2168"/>
      <c r="L152" s="2168"/>
      <c r="M152" s="2168"/>
      <c r="N152" s="2168"/>
      <c r="O152" s="2168"/>
      <c r="P152" s="2168" t="s">
        <v>2287</v>
      </c>
      <c r="Q152" s="2168"/>
      <c r="R152" s="2168"/>
      <c r="S152" s="2168"/>
      <c r="T152" s="2168"/>
      <c r="U152" s="2169"/>
      <c r="V152" s="1208"/>
      <c r="W152" s="1208"/>
      <c r="X152" s="2166"/>
      <c r="Y152" s="2167"/>
      <c r="Z152" s="2167"/>
      <c r="AA152" s="2167"/>
      <c r="AB152" s="2167"/>
      <c r="AC152" s="2167"/>
      <c r="AD152" s="2167"/>
      <c r="AE152" s="2168" t="s">
        <v>2286</v>
      </c>
      <c r="AF152" s="2168"/>
      <c r="AG152" s="2168"/>
      <c r="AH152" s="2168"/>
      <c r="AI152" s="2168"/>
      <c r="AJ152" s="2168"/>
      <c r="AK152" s="2168"/>
      <c r="AL152" s="2168" t="s">
        <v>2285</v>
      </c>
      <c r="AM152" s="2168"/>
      <c r="AN152" s="2168"/>
      <c r="AO152" s="2168"/>
      <c r="AP152" s="2168"/>
      <c r="AQ152" s="2169"/>
      <c r="AR152" s="1208"/>
      <c r="AS152" s="1208"/>
      <c r="AT152" s="1208"/>
      <c r="AU152" s="1208"/>
      <c r="AV152" s="1208"/>
      <c r="AW152" s="1208"/>
      <c r="AX152" s="1208"/>
      <c r="AY152" s="1208"/>
      <c r="AZ152" s="1208"/>
      <c r="BA152" s="1208"/>
      <c r="BB152" s="1208"/>
      <c r="BC152" s="1208"/>
      <c r="BD152" s="1208"/>
      <c r="BE152" s="1215"/>
    </row>
    <row r="153" spans="1:57" ht="15.75" customHeight="1">
      <c r="A153" s="1208"/>
      <c r="B153" s="2166"/>
      <c r="C153" s="2167"/>
      <c r="D153" s="2167"/>
      <c r="E153" s="2167"/>
      <c r="F153" s="2167"/>
      <c r="G153" s="2167"/>
      <c r="H153" s="2167"/>
      <c r="I153" s="2168"/>
      <c r="J153" s="2168"/>
      <c r="K153" s="2168"/>
      <c r="L153" s="2168"/>
      <c r="M153" s="2168"/>
      <c r="N153" s="2168"/>
      <c r="O153" s="2168"/>
      <c r="P153" s="2168"/>
      <c r="Q153" s="2168"/>
      <c r="R153" s="2168"/>
      <c r="S153" s="2168"/>
      <c r="T153" s="2168"/>
      <c r="U153" s="2169"/>
      <c r="V153" s="1208"/>
      <c r="W153" s="1208"/>
      <c r="X153" s="2166"/>
      <c r="Y153" s="2167"/>
      <c r="Z153" s="2167"/>
      <c r="AA153" s="2167"/>
      <c r="AB153" s="2167"/>
      <c r="AC153" s="2167"/>
      <c r="AD153" s="2167"/>
      <c r="AE153" s="2168"/>
      <c r="AF153" s="2168"/>
      <c r="AG153" s="2168"/>
      <c r="AH153" s="2168"/>
      <c r="AI153" s="2168"/>
      <c r="AJ153" s="2168"/>
      <c r="AK153" s="2168"/>
      <c r="AL153" s="2168"/>
      <c r="AM153" s="2168"/>
      <c r="AN153" s="2168"/>
      <c r="AO153" s="2168"/>
      <c r="AP153" s="2168"/>
      <c r="AQ153" s="216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40" t="s">
        <v>2284</v>
      </c>
      <c r="C154" s="2141"/>
      <c r="D154" s="2141"/>
      <c r="E154" s="2141"/>
      <c r="F154" s="2141"/>
      <c r="G154" s="2141"/>
      <c r="H154" s="2141"/>
      <c r="I154" s="2118">
        <v>0</v>
      </c>
      <c r="J154" s="2118"/>
      <c r="K154" s="2118"/>
      <c r="L154" s="2118"/>
      <c r="M154" s="2118"/>
      <c r="N154" s="2118"/>
      <c r="O154" s="2118"/>
      <c r="P154" s="2118">
        <v>0</v>
      </c>
      <c r="Q154" s="2118"/>
      <c r="R154" s="2118"/>
      <c r="S154" s="2118"/>
      <c r="T154" s="2118"/>
      <c r="U154" s="2119"/>
      <c r="V154" s="1208"/>
      <c r="W154" s="1208"/>
      <c r="X154" s="2142" t="s">
        <v>2284</v>
      </c>
      <c r="Y154" s="2143"/>
      <c r="Z154" s="2143"/>
      <c r="AA154" s="2143"/>
      <c r="AB154" s="2143"/>
      <c r="AC154" s="2143"/>
      <c r="AD154" s="2143"/>
      <c r="AE154" s="2116">
        <v>0</v>
      </c>
      <c r="AF154" s="2116"/>
      <c r="AG154" s="2116"/>
      <c r="AH154" s="2116"/>
      <c r="AI154" s="2116"/>
      <c r="AJ154" s="2116"/>
      <c r="AK154" s="2116"/>
      <c r="AL154" s="2116">
        <v>0</v>
      </c>
      <c r="AM154" s="2116"/>
      <c r="AN154" s="2116"/>
      <c r="AO154" s="2116"/>
      <c r="AP154" s="2116"/>
      <c r="AQ154" s="211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42" t="s">
        <v>2283</v>
      </c>
      <c r="C155" s="2143"/>
      <c r="D155" s="2143"/>
      <c r="E155" s="2143"/>
      <c r="F155" s="2143"/>
      <c r="G155" s="2143"/>
      <c r="H155" s="2143"/>
      <c r="I155" s="2116">
        <v>0</v>
      </c>
      <c r="J155" s="2116"/>
      <c r="K155" s="2116"/>
      <c r="L155" s="2116"/>
      <c r="M155" s="2116"/>
      <c r="N155" s="2116"/>
      <c r="O155" s="2116"/>
      <c r="P155" s="2116">
        <v>0</v>
      </c>
      <c r="Q155" s="2116"/>
      <c r="R155" s="2116"/>
      <c r="S155" s="2116"/>
      <c r="T155" s="2116"/>
      <c r="U155" s="211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37" t="s">
        <v>2282</v>
      </c>
      <c r="D157" s="2038"/>
      <c r="E157" s="2038"/>
      <c r="F157" s="2038"/>
      <c r="G157" s="2038"/>
      <c r="H157" s="2038"/>
      <c r="I157" s="2038"/>
      <c r="J157" s="2038"/>
      <c r="K157" s="2038"/>
      <c r="L157" s="2038"/>
      <c r="M157" s="2038"/>
      <c r="N157" s="2038"/>
      <c r="O157" s="2038"/>
      <c r="P157" s="2038"/>
      <c r="Q157" s="2038"/>
      <c r="R157" s="2038"/>
      <c r="S157" s="2038"/>
      <c r="T157" s="2038"/>
      <c r="U157" s="2038"/>
      <c r="V157" s="2038"/>
      <c r="W157" s="2038"/>
      <c r="X157" s="2038"/>
      <c r="Y157" s="2038"/>
      <c r="Z157" s="2038"/>
      <c r="AA157" s="2038"/>
      <c r="AB157" s="2038"/>
      <c r="AC157" s="2038"/>
      <c r="AD157" s="2038"/>
      <c r="AE157" s="2038"/>
      <c r="AF157" s="2038"/>
      <c r="AG157" s="203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66" t="s">
        <v>2267</v>
      </c>
      <c r="D158" s="2167"/>
      <c r="E158" s="2167"/>
      <c r="F158" s="2167"/>
      <c r="G158" s="2167"/>
      <c r="H158" s="2167"/>
      <c r="I158" s="2167"/>
      <c r="J158" s="2167"/>
      <c r="K158" s="2167"/>
      <c r="L158" s="2167"/>
      <c r="M158" s="2167"/>
      <c r="N158" s="2167"/>
      <c r="O158" s="2167"/>
      <c r="P158" s="2167"/>
      <c r="Q158" s="2167" t="s">
        <v>2281</v>
      </c>
      <c r="R158" s="2167"/>
      <c r="S158" s="2167"/>
      <c r="T158" s="2114" t="s">
        <v>2280</v>
      </c>
      <c r="U158" s="2114"/>
      <c r="V158" s="2114"/>
      <c r="W158" s="2114"/>
      <c r="X158" s="2114"/>
      <c r="Y158" s="2114"/>
      <c r="Z158" s="2114"/>
      <c r="AA158" s="2114"/>
      <c r="AB158" s="2167" t="s">
        <v>2279</v>
      </c>
      <c r="AC158" s="2167"/>
      <c r="AD158" s="2167"/>
      <c r="AE158" s="2167"/>
      <c r="AF158" s="2167"/>
      <c r="AG158" s="217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72" t="s">
        <v>2278</v>
      </c>
      <c r="D159" s="2173"/>
      <c r="E159" s="2173"/>
      <c r="F159" s="2173"/>
      <c r="G159" s="2173"/>
      <c r="H159" s="2173"/>
      <c r="I159" s="2173"/>
      <c r="J159" s="2173"/>
      <c r="K159" s="2173"/>
      <c r="L159" s="2173"/>
      <c r="M159" s="2173"/>
      <c r="N159" s="2173"/>
      <c r="O159" s="2173"/>
      <c r="P159" s="2173"/>
      <c r="Q159" s="2174">
        <v>55</v>
      </c>
      <c r="R159" s="2174"/>
      <c r="S159" s="2174"/>
      <c r="T159" s="2175"/>
      <c r="U159" s="2175"/>
      <c r="V159" s="2175"/>
      <c r="W159" s="2175"/>
      <c r="X159" s="2175"/>
      <c r="Y159" s="2175"/>
      <c r="Z159" s="2175"/>
      <c r="AA159" s="217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72" t="s">
        <v>2277</v>
      </c>
      <c r="D160" s="2173"/>
      <c r="E160" s="2173"/>
      <c r="F160" s="2173"/>
      <c r="G160" s="2173"/>
      <c r="H160" s="2173"/>
      <c r="I160" s="2173"/>
      <c r="J160" s="2173"/>
      <c r="K160" s="2173"/>
      <c r="L160" s="2173"/>
      <c r="M160" s="2173"/>
      <c r="N160" s="2173"/>
      <c r="O160" s="2173"/>
      <c r="P160" s="2173"/>
      <c r="Q160" s="2174">
        <v>55</v>
      </c>
      <c r="R160" s="2174"/>
      <c r="S160" s="2174"/>
      <c r="T160" s="2176"/>
      <c r="U160" s="2176"/>
      <c r="V160" s="2176"/>
      <c r="W160" s="2176"/>
      <c r="X160" s="2176"/>
      <c r="Y160" s="2176"/>
      <c r="Z160" s="2176"/>
      <c r="AA160" s="2176"/>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72" t="s">
        <v>2276</v>
      </c>
      <c r="D161" s="2173"/>
      <c r="E161" s="2173"/>
      <c r="F161" s="2173"/>
      <c r="G161" s="2173"/>
      <c r="H161" s="2173"/>
      <c r="I161" s="2173"/>
      <c r="J161" s="2173"/>
      <c r="K161" s="2173"/>
      <c r="L161" s="2173"/>
      <c r="M161" s="2173"/>
      <c r="N161" s="2173"/>
      <c r="O161" s="2173"/>
      <c r="P161" s="2173"/>
      <c r="Q161" s="2174">
        <v>55</v>
      </c>
      <c r="R161" s="2174"/>
      <c r="S161" s="2174"/>
      <c r="T161" s="2175"/>
      <c r="U161" s="2175"/>
      <c r="V161" s="2175"/>
      <c r="W161" s="2175"/>
      <c r="X161" s="2175"/>
      <c r="Y161" s="2175"/>
      <c r="Z161" s="2175"/>
      <c r="AA161" s="217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72" t="s">
        <v>2275</v>
      </c>
      <c r="D162" s="2173"/>
      <c r="E162" s="2173"/>
      <c r="F162" s="2173"/>
      <c r="G162" s="2173"/>
      <c r="H162" s="2173"/>
      <c r="I162" s="2173"/>
      <c r="J162" s="2173"/>
      <c r="K162" s="2173"/>
      <c r="L162" s="2173"/>
      <c r="M162" s="2173"/>
      <c r="N162" s="2173"/>
      <c r="O162" s="2173"/>
      <c r="P162" s="2173"/>
      <c r="Q162" s="2174">
        <v>55</v>
      </c>
      <c r="R162" s="2174"/>
      <c r="S162" s="2174"/>
      <c r="T162" s="2175"/>
      <c r="U162" s="2175"/>
      <c r="V162" s="2175"/>
      <c r="W162" s="2175"/>
      <c r="X162" s="2175"/>
      <c r="Y162" s="2175"/>
      <c r="Z162" s="2175"/>
      <c r="AA162" s="2175"/>
      <c r="AB162" s="2178">
        <v>0</v>
      </c>
      <c r="AC162" s="2178"/>
      <c r="AD162" s="2178"/>
      <c r="AE162" s="2178"/>
      <c r="AF162" s="2178"/>
      <c r="AG162" s="2179"/>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72" t="s">
        <v>170</v>
      </c>
      <c r="D163" s="2173"/>
      <c r="E163" s="2173"/>
      <c r="F163" s="2180" t="s">
        <v>2256</v>
      </c>
      <c r="G163" s="2180"/>
      <c r="H163" s="2180"/>
      <c r="I163" s="2180"/>
      <c r="J163" s="2180"/>
      <c r="K163" s="2180"/>
      <c r="L163" s="2180"/>
      <c r="M163" s="2180"/>
      <c r="N163" s="2180"/>
      <c r="O163" s="2180"/>
      <c r="P163" s="2180"/>
      <c r="Q163" s="2174">
        <v>55</v>
      </c>
      <c r="R163" s="2174"/>
      <c r="S163" s="2174"/>
      <c r="T163" s="2176"/>
      <c r="U163" s="2176"/>
      <c r="V163" s="2176"/>
      <c r="W163" s="2176"/>
      <c r="X163" s="2176"/>
      <c r="Y163" s="2176"/>
      <c r="Z163" s="2176"/>
      <c r="AA163" s="2176"/>
      <c r="AB163" s="2178">
        <v>0</v>
      </c>
      <c r="AC163" s="2178"/>
      <c r="AD163" s="2178"/>
      <c r="AE163" s="2178"/>
      <c r="AF163" s="2178"/>
      <c r="AG163" s="2179"/>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72" t="s">
        <v>170</v>
      </c>
      <c r="D164" s="2173"/>
      <c r="E164" s="2173"/>
      <c r="F164" s="2180" t="s">
        <v>2256</v>
      </c>
      <c r="G164" s="2180"/>
      <c r="H164" s="2180"/>
      <c r="I164" s="2180"/>
      <c r="J164" s="2180"/>
      <c r="K164" s="2180"/>
      <c r="L164" s="2180"/>
      <c r="M164" s="2180"/>
      <c r="N164" s="2180"/>
      <c r="O164" s="2180"/>
      <c r="P164" s="2180"/>
      <c r="Q164" s="2174">
        <v>55</v>
      </c>
      <c r="R164" s="2174"/>
      <c r="S164" s="2174"/>
      <c r="T164" s="2176"/>
      <c r="U164" s="2176"/>
      <c r="V164" s="2176"/>
      <c r="W164" s="2176"/>
      <c r="X164" s="2176"/>
      <c r="Y164" s="2176"/>
      <c r="Z164" s="2176"/>
      <c r="AA164" s="2176"/>
      <c r="AB164" s="2178">
        <v>0</v>
      </c>
      <c r="AC164" s="2178"/>
      <c r="AD164" s="2178"/>
      <c r="AE164" s="2178"/>
      <c r="AF164" s="2178"/>
      <c r="AG164" s="2179"/>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81" t="s">
        <v>170</v>
      </c>
      <c r="D165" s="2182"/>
      <c r="E165" s="2182"/>
      <c r="F165" s="2183" t="s">
        <v>2256</v>
      </c>
      <c r="G165" s="2183"/>
      <c r="H165" s="2183"/>
      <c r="I165" s="2183"/>
      <c r="J165" s="2183"/>
      <c r="K165" s="2183"/>
      <c r="L165" s="2183"/>
      <c r="M165" s="2183"/>
      <c r="N165" s="2183"/>
      <c r="O165" s="2183"/>
      <c r="P165" s="2183"/>
      <c r="Q165" s="2184">
        <v>55</v>
      </c>
      <c r="R165" s="2184"/>
      <c r="S165" s="2184"/>
      <c r="T165" s="2185"/>
      <c r="U165" s="2185"/>
      <c r="V165" s="2185"/>
      <c r="W165" s="2185"/>
      <c r="X165" s="2185"/>
      <c r="Y165" s="2185"/>
      <c r="Z165" s="2185"/>
      <c r="AA165" s="2185"/>
      <c r="AB165" s="2186">
        <v>0</v>
      </c>
      <c r="AC165" s="2186"/>
      <c r="AD165" s="2186"/>
      <c r="AE165" s="2186"/>
      <c r="AF165" s="2186"/>
      <c r="AG165" s="218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84" t="s">
        <v>2274</v>
      </c>
      <c r="D167" s="2085"/>
      <c r="E167" s="2085"/>
      <c r="F167" s="2085"/>
      <c r="G167" s="2085"/>
      <c r="H167" s="2085"/>
      <c r="I167" s="2085"/>
      <c r="J167" s="2085"/>
      <c r="K167" s="2085"/>
      <c r="L167" s="2085"/>
      <c r="M167" s="2085"/>
      <c r="N167" s="2123"/>
      <c r="O167" s="1208"/>
      <c r="P167" s="2188" t="s">
        <v>2273</v>
      </c>
      <c r="Q167" s="2189"/>
      <c r="R167" s="2189"/>
      <c r="S167" s="2189"/>
      <c r="T167" s="2189"/>
      <c r="U167" s="2189"/>
      <c r="V167" s="2189"/>
      <c r="W167" s="2189"/>
      <c r="X167" s="2189"/>
      <c r="Y167" s="2189"/>
      <c r="Z167" s="2189"/>
      <c r="AA167" s="2189"/>
      <c r="AB167" s="2189"/>
      <c r="AC167" s="2189"/>
      <c r="AD167" s="2189"/>
      <c r="AE167" s="2189"/>
      <c r="AF167" s="2189"/>
      <c r="AG167" s="2189"/>
      <c r="AH167" s="2189"/>
      <c r="AI167" s="2189"/>
      <c r="AJ167" s="2189"/>
      <c r="AK167" s="2189"/>
      <c r="AL167" s="2189"/>
      <c r="AM167" s="2189"/>
      <c r="AN167" s="2189"/>
      <c r="AO167" s="219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66" t="s">
        <v>2272</v>
      </c>
      <c r="D168" s="2167"/>
      <c r="E168" s="2167"/>
      <c r="F168" s="2167"/>
      <c r="G168" s="2167"/>
      <c r="H168" s="2167"/>
      <c r="I168" s="2167" t="s">
        <v>2271</v>
      </c>
      <c r="J168" s="2167"/>
      <c r="K168" s="2167"/>
      <c r="L168" s="2167"/>
      <c r="M168" s="2167"/>
      <c r="N168" s="2177"/>
      <c r="O168" s="1208"/>
      <c r="P168" s="2088" t="s">
        <v>2270</v>
      </c>
      <c r="Q168" s="2089"/>
      <c r="R168" s="2089"/>
      <c r="S168" s="2089"/>
      <c r="T168" s="2089"/>
      <c r="U168" s="2089"/>
      <c r="V168" s="2089"/>
      <c r="W168" s="2089"/>
      <c r="X168" s="2089"/>
      <c r="Y168" s="2089"/>
      <c r="Z168" s="2089"/>
      <c r="AA168" s="2089"/>
      <c r="AB168" s="2089"/>
      <c r="AC168" s="2089"/>
      <c r="AD168" s="2089"/>
      <c r="AE168" s="2089"/>
      <c r="AF168" s="2089"/>
      <c r="AG168" s="2089"/>
      <c r="AH168" s="2089"/>
      <c r="AI168" s="2089"/>
      <c r="AJ168" s="2089"/>
      <c r="AK168" s="2089"/>
      <c r="AL168" s="2089"/>
      <c r="AM168" s="2089"/>
      <c r="AN168" s="2089"/>
      <c r="AO168" s="209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94"/>
      <c r="D169" s="2044"/>
      <c r="E169" s="2044"/>
      <c r="F169" s="2044"/>
      <c r="G169" s="2044"/>
      <c r="H169" s="2044"/>
      <c r="I169" s="2175"/>
      <c r="J169" s="2175"/>
      <c r="K169" s="2175"/>
      <c r="L169" s="2175"/>
      <c r="M169" s="2175"/>
      <c r="N169" s="2191"/>
      <c r="O169" s="1208"/>
      <c r="P169" s="2088"/>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2089"/>
      <c r="AN169" s="2089"/>
      <c r="AO169" s="209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94"/>
      <c r="D170" s="2044"/>
      <c r="E170" s="2044"/>
      <c r="F170" s="2044"/>
      <c r="G170" s="2044"/>
      <c r="H170" s="2044"/>
      <c r="I170" s="2175"/>
      <c r="J170" s="2175"/>
      <c r="K170" s="2175"/>
      <c r="L170" s="2175"/>
      <c r="M170" s="2175"/>
      <c r="N170" s="2191"/>
      <c r="O170" s="1208"/>
      <c r="P170" s="2088"/>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2089"/>
      <c r="AN170" s="2089"/>
      <c r="AO170" s="209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94"/>
      <c r="D171" s="2044"/>
      <c r="E171" s="2044"/>
      <c r="F171" s="2044"/>
      <c r="G171" s="2044"/>
      <c r="H171" s="2044"/>
      <c r="I171" s="2175"/>
      <c r="J171" s="2175"/>
      <c r="K171" s="2175"/>
      <c r="L171" s="2175"/>
      <c r="M171" s="2175"/>
      <c r="N171" s="2191"/>
      <c r="O171" s="1208"/>
      <c r="P171" s="2088"/>
      <c r="Q171" s="2089"/>
      <c r="R171" s="2089"/>
      <c r="S171" s="2089"/>
      <c r="T171" s="2089"/>
      <c r="U171" s="2089"/>
      <c r="V171" s="2089"/>
      <c r="W171" s="2089"/>
      <c r="X171" s="2089"/>
      <c r="Y171" s="2089"/>
      <c r="Z171" s="2089"/>
      <c r="AA171" s="2089"/>
      <c r="AB171" s="2089"/>
      <c r="AC171" s="2089"/>
      <c r="AD171" s="2089"/>
      <c r="AE171" s="2089"/>
      <c r="AF171" s="2089"/>
      <c r="AG171" s="2089"/>
      <c r="AH171" s="2089"/>
      <c r="AI171" s="2089"/>
      <c r="AJ171" s="2089"/>
      <c r="AK171" s="2089"/>
      <c r="AL171" s="2089"/>
      <c r="AM171" s="2089"/>
      <c r="AN171" s="2089"/>
      <c r="AO171" s="209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94"/>
      <c r="D172" s="2044"/>
      <c r="E172" s="2044"/>
      <c r="F172" s="2044"/>
      <c r="G172" s="2044"/>
      <c r="H172" s="2044"/>
      <c r="I172" s="2175"/>
      <c r="J172" s="2175"/>
      <c r="K172" s="2175"/>
      <c r="L172" s="2175"/>
      <c r="M172" s="2175"/>
      <c r="N172" s="2191"/>
      <c r="O172" s="1208"/>
      <c r="P172" s="2088"/>
      <c r="Q172" s="2089"/>
      <c r="R172" s="2089"/>
      <c r="S172" s="2089"/>
      <c r="T172" s="2089"/>
      <c r="U172" s="2089"/>
      <c r="V172" s="2089"/>
      <c r="W172" s="2089"/>
      <c r="X172" s="2089"/>
      <c r="Y172" s="2089"/>
      <c r="Z172" s="2089"/>
      <c r="AA172" s="2089"/>
      <c r="AB172" s="2089"/>
      <c r="AC172" s="2089"/>
      <c r="AD172" s="2089"/>
      <c r="AE172" s="2089"/>
      <c r="AF172" s="2089"/>
      <c r="AG172" s="2089"/>
      <c r="AH172" s="2089"/>
      <c r="AI172" s="2089"/>
      <c r="AJ172" s="2089"/>
      <c r="AK172" s="2089"/>
      <c r="AL172" s="2089"/>
      <c r="AM172" s="2089"/>
      <c r="AN172" s="2089"/>
      <c r="AO172" s="209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94"/>
      <c r="D173" s="2044"/>
      <c r="E173" s="2044"/>
      <c r="F173" s="2044"/>
      <c r="G173" s="2044"/>
      <c r="H173" s="2044"/>
      <c r="I173" s="2175"/>
      <c r="J173" s="2175"/>
      <c r="K173" s="2175"/>
      <c r="L173" s="2175"/>
      <c r="M173" s="2175"/>
      <c r="N173" s="2191"/>
      <c r="O173" s="1208"/>
      <c r="P173" s="2088"/>
      <c r="Q173" s="2089"/>
      <c r="R173" s="2089"/>
      <c r="S173" s="2089"/>
      <c r="T173" s="2089"/>
      <c r="U173" s="2089"/>
      <c r="V173" s="2089"/>
      <c r="W173" s="2089"/>
      <c r="X173" s="2089"/>
      <c r="Y173" s="2089"/>
      <c r="Z173" s="2089"/>
      <c r="AA173" s="2089"/>
      <c r="AB173" s="2089"/>
      <c r="AC173" s="2089"/>
      <c r="AD173" s="2089"/>
      <c r="AE173" s="2089"/>
      <c r="AF173" s="2089"/>
      <c r="AG173" s="2089"/>
      <c r="AH173" s="2089"/>
      <c r="AI173" s="2089"/>
      <c r="AJ173" s="2089"/>
      <c r="AK173" s="2089"/>
      <c r="AL173" s="2089"/>
      <c r="AM173" s="2089"/>
      <c r="AN173" s="2089"/>
      <c r="AO173" s="209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94"/>
      <c r="D174" s="2044"/>
      <c r="E174" s="2044"/>
      <c r="F174" s="2044"/>
      <c r="G174" s="2044"/>
      <c r="H174" s="2044"/>
      <c r="I174" s="2175"/>
      <c r="J174" s="2175"/>
      <c r="K174" s="2175"/>
      <c r="L174" s="2175"/>
      <c r="M174" s="2175"/>
      <c r="N174" s="2191"/>
      <c r="O174" s="1208"/>
      <c r="P174" s="2088"/>
      <c r="Q174" s="2089"/>
      <c r="R174" s="2089"/>
      <c r="S174" s="2089"/>
      <c r="T174" s="2089"/>
      <c r="U174" s="2089"/>
      <c r="V174" s="2089"/>
      <c r="W174" s="2089"/>
      <c r="X174" s="2089"/>
      <c r="Y174" s="2089"/>
      <c r="Z174" s="2089"/>
      <c r="AA174" s="2089"/>
      <c r="AB174" s="2089"/>
      <c r="AC174" s="2089"/>
      <c r="AD174" s="2089"/>
      <c r="AE174" s="2089"/>
      <c r="AF174" s="2089"/>
      <c r="AG174" s="2089"/>
      <c r="AH174" s="2089"/>
      <c r="AI174" s="2089"/>
      <c r="AJ174" s="2089"/>
      <c r="AK174" s="2089"/>
      <c r="AL174" s="2089"/>
      <c r="AM174" s="2089"/>
      <c r="AN174" s="2089"/>
      <c r="AO174" s="209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92"/>
      <c r="D175" s="2193"/>
      <c r="E175" s="2193"/>
      <c r="F175" s="2193"/>
      <c r="G175" s="2193"/>
      <c r="H175" s="2193"/>
      <c r="I175" s="2194"/>
      <c r="J175" s="2194"/>
      <c r="K175" s="2194"/>
      <c r="L175" s="2194"/>
      <c r="M175" s="2194"/>
      <c r="N175" s="2195"/>
      <c r="O175" s="1208"/>
      <c r="P175" s="2091"/>
      <c r="Q175" s="2092"/>
      <c r="R175" s="2092"/>
      <c r="S175" s="2092"/>
      <c r="T175" s="2092"/>
      <c r="U175" s="2092"/>
      <c r="V175" s="2092"/>
      <c r="W175" s="2092"/>
      <c r="X175" s="2092"/>
      <c r="Y175" s="2092"/>
      <c r="Z175" s="2092"/>
      <c r="AA175" s="2092"/>
      <c r="AB175" s="2092"/>
      <c r="AC175" s="2092"/>
      <c r="AD175" s="2092"/>
      <c r="AE175" s="2092"/>
      <c r="AF175" s="2092"/>
      <c r="AG175" s="2092"/>
      <c r="AH175" s="2092"/>
      <c r="AI175" s="2092"/>
      <c r="AJ175" s="2092"/>
      <c r="AK175" s="2092"/>
      <c r="AL175" s="2092"/>
      <c r="AM175" s="2092"/>
      <c r="AN175" s="2092"/>
      <c r="AO175" s="209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99" t="s">
        <v>2269</v>
      </c>
      <c r="D177" s="2200"/>
      <c r="E177" s="2200"/>
      <c r="F177" s="2200"/>
      <c r="G177" s="2200"/>
      <c r="H177" s="2200"/>
      <c r="I177" s="2200"/>
      <c r="J177" s="2200"/>
      <c r="K177" s="2200"/>
      <c r="L177" s="2200"/>
      <c r="M177" s="2200"/>
      <c r="N177" s="2200"/>
      <c r="O177" s="2200"/>
      <c r="P177" s="2200"/>
      <c r="Q177" s="2200"/>
      <c r="R177" s="2200"/>
      <c r="S177" s="2200"/>
      <c r="T177" s="2200"/>
      <c r="U177" s="2200"/>
      <c r="V177" s="2200"/>
      <c r="W177" s="2200"/>
      <c r="X177" s="2200"/>
      <c r="Y177" s="2200"/>
      <c r="Z177" s="2200"/>
      <c r="AA177" s="2200"/>
      <c r="AB177" s="2200"/>
      <c r="AC177" s="2200"/>
      <c r="AD177" s="2200"/>
      <c r="AE177" s="2201"/>
      <c r="AF177" s="1208"/>
      <c r="AG177" s="1208"/>
      <c r="AH177" s="2209"/>
      <c r="AI177" s="2209"/>
      <c r="AJ177" s="2209"/>
      <c r="AK177" s="2209"/>
      <c r="AL177" s="2209"/>
      <c r="AM177" s="2209"/>
      <c r="AN177" s="2209"/>
      <c r="AO177" s="2209"/>
      <c r="AP177" s="2209"/>
      <c r="AQ177" s="2209"/>
      <c r="AR177" s="2209"/>
      <c r="AS177" s="2209"/>
      <c r="AT177" s="2209"/>
      <c r="AU177" s="2209"/>
      <c r="AV177" s="2209"/>
      <c r="AW177" s="2209"/>
      <c r="AX177" s="2209"/>
      <c r="AY177" s="2209"/>
      <c r="AZ177" s="2209"/>
      <c r="BA177" s="2209"/>
      <c r="BB177" s="2209"/>
      <c r="BC177" s="2209"/>
      <c r="BD177" s="2209"/>
      <c r="BE177" s="2209"/>
    </row>
    <row r="178" spans="1:57" ht="15.75" customHeight="1" thickBot="1">
      <c r="A178" s="1208"/>
      <c r="B178" s="1208"/>
      <c r="C178" s="2202"/>
      <c r="D178" s="2203"/>
      <c r="E178" s="2203"/>
      <c r="F178" s="2203"/>
      <c r="G178" s="2203"/>
      <c r="H178" s="2203"/>
      <c r="I178" s="2203"/>
      <c r="J178" s="2203"/>
      <c r="K178" s="2203"/>
      <c r="L178" s="2203"/>
      <c r="M178" s="2203"/>
      <c r="N178" s="2203"/>
      <c r="O178" s="2203"/>
      <c r="P178" s="2203"/>
      <c r="Q178" s="2203"/>
      <c r="R178" s="2203"/>
      <c r="S178" s="2203"/>
      <c r="T178" s="2203"/>
      <c r="U178" s="2203"/>
      <c r="V178" s="2203"/>
      <c r="W178" s="2203"/>
      <c r="X178" s="2203"/>
      <c r="Y178" s="2203"/>
      <c r="Z178" s="2203"/>
      <c r="AA178" s="2203"/>
      <c r="AB178" s="2203"/>
      <c r="AC178" s="2203"/>
      <c r="AD178" s="2203"/>
      <c r="AE178" s="2204"/>
      <c r="AF178" s="1208"/>
      <c r="AG178" s="1208"/>
      <c r="AH178" s="2209"/>
      <c r="AI178" s="2209"/>
      <c r="AJ178" s="2209"/>
      <c r="AK178" s="2209"/>
      <c r="AL178" s="2209"/>
      <c r="AM178" s="2209"/>
      <c r="AN178" s="2209"/>
      <c r="AO178" s="2209"/>
      <c r="AP178" s="2209"/>
      <c r="AQ178" s="2209"/>
      <c r="AR178" s="2209"/>
      <c r="AS178" s="2209"/>
      <c r="AT178" s="2209"/>
      <c r="AU178" s="2209"/>
      <c r="AV178" s="2209"/>
      <c r="AW178" s="2209"/>
      <c r="AX178" s="2209"/>
      <c r="AY178" s="2209"/>
      <c r="AZ178" s="2209"/>
      <c r="BA178" s="2209"/>
      <c r="BB178" s="2209"/>
      <c r="BC178" s="2209"/>
      <c r="BD178" s="2209"/>
      <c r="BE178" s="2209"/>
    </row>
    <row r="179" spans="1:57" ht="15.75" customHeight="1">
      <c r="A179" s="1208"/>
      <c r="B179" s="1208"/>
      <c r="C179" s="2084" t="s">
        <v>2267</v>
      </c>
      <c r="D179" s="2085"/>
      <c r="E179" s="2085"/>
      <c r="F179" s="2085"/>
      <c r="G179" s="2085"/>
      <c r="H179" s="2085"/>
      <c r="I179" s="2085"/>
      <c r="J179" s="2085"/>
      <c r="K179" s="2085"/>
      <c r="L179" s="2085"/>
      <c r="M179" s="2085"/>
      <c r="N179" s="2085" t="s">
        <v>2268</v>
      </c>
      <c r="O179" s="2085"/>
      <c r="P179" s="2085"/>
      <c r="Q179" s="2085"/>
      <c r="R179" s="2085"/>
      <c r="S179" s="2085"/>
      <c r="T179" s="2085"/>
      <c r="U179" s="2038" t="s">
        <v>2267</v>
      </c>
      <c r="V179" s="2038"/>
      <c r="W179" s="2038"/>
      <c r="X179" s="2038"/>
      <c r="Y179" s="2038"/>
      <c r="Z179" s="2038"/>
      <c r="AA179" s="2038"/>
      <c r="AB179" s="2038"/>
      <c r="AC179" s="2038"/>
      <c r="AD179" s="2038"/>
      <c r="AE179" s="2039"/>
      <c r="AF179" s="1208"/>
      <c r="AG179" s="1208"/>
      <c r="AH179" s="2209"/>
      <c r="AI179" s="2209"/>
      <c r="AJ179" s="2209"/>
      <c r="AK179" s="2209"/>
      <c r="AL179" s="2209"/>
      <c r="AM179" s="2209"/>
      <c r="AN179" s="2209"/>
      <c r="AO179" s="2209"/>
      <c r="AP179" s="2209"/>
      <c r="AQ179" s="2209"/>
      <c r="AR179" s="2209"/>
      <c r="AS179" s="2209"/>
      <c r="AT179" s="2209"/>
      <c r="AU179" s="2209"/>
      <c r="AV179" s="2209"/>
      <c r="AW179" s="2209"/>
      <c r="AX179" s="2209"/>
      <c r="AY179" s="2209"/>
      <c r="AZ179" s="2209"/>
      <c r="BA179" s="2209"/>
      <c r="BB179" s="2209"/>
      <c r="BC179" s="2209"/>
      <c r="BD179" s="2209"/>
      <c r="BE179" s="2209"/>
    </row>
    <row r="180" spans="1:57" ht="15.75" customHeight="1">
      <c r="A180" s="1208"/>
      <c r="B180" s="1208"/>
      <c r="C180" s="2196" t="s">
        <v>2266</v>
      </c>
      <c r="D180" s="2197"/>
      <c r="E180" s="2197"/>
      <c r="F180" s="2197"/>
      <c r="G180" s="2197"/>
      <c r="H180" s="2197"/>
      <c r="I180" s="2197"/>
      <c r="J180" s="2197"/>
      <c r="K180" s="2197"/>
      <c r="L180" s="2197"/>
      <c r="M180" s="2197"/>
      <c r="N180" s="2198">
        <f>'Sources and Uses Budget'!B105</f>
        <v>63865236</v>
      </c>
      <c r="O180" s="2198"/>
      <c r="P180" s="2198"/>
      <c r="Q180" s="2198"/>
      <c r="R180" s="2198"/>
      <c r="S180" s="2198"/>
      <c r="T180" s="2198"/>
      <c r="U180" s="2210"/>
      <c r="V180" s="2210"/>
      <c r="W180" s="2210"/>
      <c r="X180" s="2210"/>
      <c r="Y180" s="2210"/>
      <c r="Z180" s="2210"/>
      <c r="AA180" s="2210"/>
      <c r="AB180" s="2210"/>
      <c r="AC180" s="2210"/>
      <c r="AD180" s="2210"/>
      <c r="AE180" s="2211"/>
      <c r="AF180" s="1208"/>
      <c r="AG180" s="1208"/>
      <c r="AH180" s="2209"/>
      <c r="AI180" s="2209"/>
      <c r="AJ180" s="2209"/>
      <c r="AK180" s="2209"/>
      <c r="AL180" s="2209"/>
      <c r="AM180" s="2209"/>
      <c r="AN180" s="2209"/>
      <c r="AO180" s="2209"/>
      <c r="AP180" s="2209"/>
      <c r="AQ180" s="2209"/>
      <c r="AR180" s="2209"/>
      <c r="AS180" s="2209"/>
      <c r="AT180" s="2209"/>
      <c r="AU180" s="2209"/>
      <c r="AV180" s="2209"/>
      <c r="AW180" s="2209"/>
      <c r="AX180" s="2209"/>
      <c r="AY180" s="2209"/>
      <c r="AZ180" s="2209"/>
      <c r="BA180" s="2209"/>
      <c r="BB180" s="2209"/>
      <c r="BC180" s="2209"/>
      <c r="BD180" s="2209"/>
      <c r="BE180" s="2209"/>
    </row>
    <row r="181" spans="1:57" ht="15.75" customHeight="1">
      <c r="A181" s="1208"/>
      <c r="B181" s="1208"/>
      <c r="C181" s="2196" t="s">
        <v>2265</v>
      </c>
      <c r="D181" s="2197"/>
      <c r="E181" s="2197"/>
      <c r="F181" s="2197"/>
      <c r="G181" s="2197"/>
      <c r="H181" s="2197"/>
      <c r="I181" s="2197"/>
      <c r="J181" s="2197"/>
      <c r="K181" s="2197"/>
      <c r="L181" s="2197"/>
      <c r="M181" s="2197"/>
      <c r="N181" s="2198">
        <f>N180/J29</f>
        <v>672265.64210526319</v>
      </c>
      <c r="O181" s="2198"/>
      <c r="P181" s="2198"/>
      <c r="Q181" s="2198"/>
      <c r="R181" s="2198"/>
      <c r="S181" s="2198"/>
      <c r="T181" s="2198"/>
      <c r="U181" s="1248"/>
      <c r="V181" s="1248"/>
      <c r="W181" s="1248"/>
      <c r="X181" s="1248"/>
      <c r="Y181" s="1248"/>
      <c r="Z181" s="1248"/>
      <c r="AA181" s="1248"/>
      <c r="AB181" s="1248"/>
      <c r="AC181" s="1248"/>
      <c r="AD181" s="1248"/>
      <c r="AE181" s="1249"/>
      <c r="AF181" s="1208"/>
      <c r="AG181" s="1208"/>
      <c r="AH181" s="2209"/>
      <c r="AI181" s="2209"/>
      <c r="AJ181" s="2209"/>
      <c r="AK181" s="2209"/>
      <c r="AL181" s="2209"/>
      <c r="AM181" s="2209"/>
      <c r="AN181" s="2209"/>
      <c r="AO181" s="2209"/>
      <c r="AP181" s="2209"/>
      <c r="AQ181" s="2209"/>
      <c r="AR181" s="2209"/>
      <c r="AS181" s="2209"/>
      <c r="AT181" s="2209"/>
      <c r="AU181" s="2209"/>
      <c r="AV181" s="2209"/>
      <c r="AW181" s="2209"/>
      <c r="AX181" s="2209"/>
      <c r="AY181" s="2209"/>
      <c r="AZ181" s="2209"/>
      <c r="BA181" s="2209"/>
      <c r="BB181" s="2209"/>
      <c r="BC181" s="2209"/>
      <c r="BD181" s="2209"/>
      <c r="BE181" s="2209"/>
    </row>
    <row r="182" spans="1:57" ht="15.75" customHeight="1">
      <c r="A182" s="1208"/>
      <c r="B182" s="1208"/>
      <c r="C182" s="2212" t="s">
        <v>2264</v>
      </c>
      <c r="D182" s="2213"/>
      <c r="E182" s="2213"/>
      <c r="F182" s="2213"/>
      <c r="G182" s="2213"/>
      <c r="H182" s="2213"/>
      <c r="I182" s="2213"/>
      <c r="J182" s="2213"/>
      <c r="K182" s="2213"/>
      <c r="L182" s="2213"/>
      <c r="M182" s="2213"/>
      <c r="N182" s="2078">
        <v>0</v>
      </c>
      <c r="O182" s="2078"/>
      <c r="P182" s="2078"/>
      <c r="Q182" s="2078"/>
      <c r="R182" s="2078"/>
      <c r="S182" s="2078"/>
      <c r="T182" s="2078"/>
      <c r="U182" s="2056"/>
      <c r="V182" s="2056"/>
      <c r="W182" s="2056"/>
      <c r="X182" s="2056"/>
      <c r="Y182" s="2056"/>
      <c r="Z182" s="2056"/>
      <c r="AA182" s="2056"/>
      <c r="AB182" s="2056"/>
      <c r="AC182" s="2056"/>
      <c r="AD182" s="2056"/>
      <c r="AE182" s="2057"/>
      <c r="AF182" s="1208"/>
      <c r="AG182" s="1208"/>
      <c r="AH182" s="2209"/>
      <c r="AI182" s="2209"/>
      <c r="AJ182" s="2209"/>
      <c r="AK182" s="2209"/>
      <c r="AL182" s="2209"/>
      <c r="AM182" s="2209"/>
      <c r="AN182" s="2209"/>
      <c r="AO182" s="2209"/>
      <c r="AP182" s="2209"/>
      <c r="AQ182" s="2209"/>
      <c r="AR182" s="2209"/>
      <c r="AS182" s="2209"/>
      <c r="AT182" s="2209"/>
      <c r="AU182" s="2209"/>
      <c r="AV182" s="2209"/>
      <c r="AW182" s="2209"/>
      <c r="AX182" s="2209"/>
      <c r="AY182" s="2209"/>
      <c r="AZ182" s="2209"/>
      <c r="BA182" s="2209"/>
      <c r="BB182" s="2209"/>
      <c r="BC182" s="2209"/>
      <c r="BD182" s="2209"/>
      <c r="BE182" s="2209"/>
    </row>
    <row r="183" spans="1:57" ht="15.75" customHeight="1" thickBot="1">
      <c r="A183" s="1208"/>
      <c r="B183" s="1208"/>
      <c r="C183" s="2196" t="s">
        <v>2263</v>
      </c>
      <c r="D183" s="2197"/>
      <c r="E183" s="2197"/>
      <c r="F183" s="2197"/>
      <c r="G183" s="2197"/>
      <c r="H183" s="2197"/>
      <c r="I183" s="2197"/>
      <c r="J183" s="2197"/>
      <c r="K183" s="2197"/>
      <c r="L183" s="2197"/>
      <c r="M183" s="2197"/>
      <c r="N183" s="2214">
        <f>SUM('Sources and Uses Budget'!B85:B86)</f>
        <v>1677300</v>
      </c>
      <c r="O183" s="2214"/>
      <c r="P183" s="2214"/>
      <c r="Q183" s="2214"/>
      <c r="R183" s="2214"/>
      <c r="S183" s="2214"/>
      <c r="T183" s="2214"/>
      <c r="U183" s="2056"/>
      <c r="V183" s="2056"/>
      <c r="W183" s="2056"/>
      <c r="X183" s="2056"/>
      <c r="Y183" s="2056"/>
      <c r="Z183" s="2056"/>
      <c r="AA183" s="2056"/>
      <c r="AB183" s="2056"/>
      <c r="AC183" s="2056"/>
      <c r="AD183" s="2056"/>
      <c r="AE183" s="2057"/>
      <c r="AF183" s="1208"/>
      <c r="AG183" s="1208"/>
      <c r="AH183" s="2209"/>
      <c r="AI183" s="2209"/>
      <c r="AJ183" s="2209"/>
      <c r="AK183" s="2209"/>
      <c r="AL183" s="2209"/>
      <c r="AM183" s="2209"/>
      <c r="AN183" s="2209"/>
      <c r="AO183" s="2209"/>
      <c r="AP183" s="2209"/>
      <c r="AQ183" s="2209"/>
      <c r="AR183" s="2209"/>
      <c r="AS183" s="2209"/>
      <c r="AT183" s="2209"/>
      <c r="AU183" s="2209"/>
      <c r="AV183" s="2209"/>
      <c r="AW183" s="2209"/>
      <c r="AX183" s="2209"/>
      <c r="AY183" s="2209"/>
      <c r="AZ183" s="2209"/>
      <c r="BA183" s="2209"/>
      <c r="BB183" s="2209"/>
      <c r="BC183" s="2209"/>
      <c r="BD183" s="2209"/>
      <c r="BE183" s="2209"/>
    </row>
    <row r="184" spans="1:57" ht="15.75" customHeight="1" thickBot="1">
      <c r="A184" s="1208"/>
      <c r="B184" s="1208"/>
      <c r="C184" s="2196" t="s">
        <v>2262</v>
      </c>
      <c r="D184" s="2197"/>
      <c r="E184" s="2197"/>
      <c r="F184" s="2197"/>
      <c r="G184" s="2197"/>
      <c r="H184" s="2197"/>
      <c r="I184" s="2197"/>
      <c r="J184" s="2197"/>
      <c r="K184" s="2197"/>
      <c r="L184" s="2197"/>
      <c r="M184" s="2197"/>
      <c r="N184" s="2214">
        <f>'Sources and Uses Budget'!B8</f>
        <v>2643049</v>
      </c>
      <c r="O184" s="2214"/>
      <c r="P184" s="2214"/>
      <c r="Q184" s="2214"/>
      <c r="R184" s="2214"/>
      <c r="S184" s="2214"/>
      <c r="T184" s="2214"/>
      <c r="U184" s="2056"/>
      <c r="V184" s="2056"/>
      <c r="W184" s="2056"/>
      <c r="X184" s="2056"/>
      <c r="Y184" s="2056"/>
      <c r="Z184" s="2056"/>
      <c r="AA184" s="2056"/>
      <c r="AB184" s="2056"/>
      <c r="AC184" s="2056"/>
      <c r="AD184" s="2056"/>
      <c r="AE184" s="2057"/>
      <c r="AF184" s="1208"/>
      <c r="AG184" s="1208"/>
      <c r="AH184" s="2218" t="s">
        <v>2260</v>
      </c>
      <c r="AI184" s="2219"/>
      <c r="AJ184" s="2219"/>
      <c r="AK184" s="2219"/>
      <c r="AL184" s="2219"/>
      <c r="AM184" s="2219"/>
      <c r="AN184" s="2219"/>
      <c r="AO184" s="2219"/>
      <c r="AP184" s="2219"/>
      <c r="AQ184" s="2219"/>
      <c r="AR184" s="2219"/>
      <c r="AS184" s="2219"/>
      <c r="AT184" s="2219"/>
      <c r="AU184" s="2219"/>
      <c r="AV184" s="2219"/>
      <c r="AW184" s="2219"/>
      <c r="AX184" s="2219"/>
      <c r="AY184" s="2219"/>
      <c r="AZ184" s="2219"/>
      <c r="BA184" s="2219"/>
      <c r="BB184" s="2219"/>
      <c r="BC184" s="2219"/>
      <c r="BD184" s="2219"/>
      <c r="BE184" s="2220"/>
    </row>
    <row r="185" spans="1:57" ht="15.75" customHeight="1">
      <c r="A185" s="1208"/>
      <c r="B185" s="1208"/>
      <c r="C185" s="2196" t="s">
        <v>2261</v>
      </c>
      <c r="D185" s="2197"/>
      <c r="E185" s="2197"/>
      <c r="F185" s="2197"/>
      <c r="G185" s="2197"/>
      <c r="H185" s="2197"/>
      <c r="I185" s="2197"/>
      <c r="J185" s="2197"/>
      <c r="K185" s="2197"/>
      <c r="L185" s="2197"/>
      <c r="M185" s="2197"/>
      <c r="N185" s="2205">
        <v>0</v>
      </c>
      <c r="O185" s="2205"/>
      <c r="P185" s="2205"/>
      <c r="Q185" s="2205"/>
      <c r="R185" s="2205"/>
      <c r="S185" s="2205"/>
      <c r="T185" s="2205"/>
      <c r="U185" s="2056"/>
      <c r="V185" s="2056"/>
      <c r="W185" s="2056"/>
      <c r="X185" s="2056"/>
      <c r="Y185" s="2056"/>
      <c r="Z185" s="2056"/>
      <c r="AA185" s="2056"/>
      <c r="AB185" s="2056"/>
      <c r="AC185" s="2056"/>
      <c r="AD185" s="2056"/>
      <c r="AE185" s="2057"/>
      <c r="AF185" s="1208"/>
      <c r="AG185" s="1208"/>
      <c r="AH185" s="2221" t="s">
        <v>2260</v>
      </c>
      <c r="AI185" s="2222"/>
      <c r="AJ185" s="2222"/>
      <c r="AK185" s="2222"/>
      <c r="AL185" s="2222"/>
      <c r="AM185" s="2222"/>
      <c r="AN185" s="2222"/>
      <c r="AO185" s="2222"/>
      <c r="AP185" s="2222"/>
      <c r="AQ185" s="2222"/>
      <c r="AR185" s="2222"/>
      <c r="AS185" s="2222"/>
      <c r="AT185" s="2222"/>
      <c r="AU185" s="2223">
        <v>0</v>
      </c>
      <c r="AV185" s="2223"/>
      <c r="AW185" s="2223"/>
      <c r="AX185" s="2223"/>
      <c r="AY185" s="2223"/>
      <c r="AZ185" s="2223"/>
      <c r="BA185" s="2223"/>
      <c r="BB185" s="2223"/>
      <c r="BC185" s="2224"/>
      <c r="BD185" s="2225"/>
      <c r="BE185" s="2226"/>
    </row>
    <row r="186" spans="1:57" ht="15.75" customHeight="1">
      <c r="A186" s="1208"/>
      <c r="B186" s="1208"/>
      <c r="C186" s="2196" t="s">
        <v>2259</v>
      </c>
      <c r="D186" s="2197"/>
      <c r="E186" s="2197"/>
      <c r="F186" s="2197"/>
      <c r="G186" s="2197"/>
      <c r="H186" s="2197"/>
      <c r="I186" s="2197"/>
      <c r="J186" s="2197"/>
      <c r="K186" s="2197"/>
      <c r="L186" s="2197"/>
      <c r="M186" s="2197"/>
      <c r="N186" s="2205">
        <v>0</v>
      </c>
      <c r="O186" s="2205"/>
      <c r="P186" s="2205"/>
      <c r="Q186" s="2205"/>
      <c r="R186" s="2205"/>
      <c r="S186" s="2205"/>
      <c r="T186" s="2205"/>
      <c r="U186" s="2056"/>
      <c r="V186" s="2056"/>
      <c r="W186" s="2056"/>
      <c r="X186" s="2056"/>
      <c r="Y186" s="2056"/>
      <c r="Z186" s="2056"/>
      <c r="AA186" s="2056"/>
      <c r="AB186" s="2056"/>
      <c r="AC186" s="2056"/>
      <c r="AD186" s="2056"/>
      <c r="AE186" s="2057"/>
      <c r="AF186" s="1208"/>
      <c r="AG186" s="1208"/>
      <c r="AH186" s="2206" t="s">
        <v>2258</v>
      </c>
      <c r="AI186" s="2207"/>
      <c r="AJ186" s="2207"/>
      <c r="AK186" s="2207"/>
      <c r="AL186" s="2207"/>
      <c r="AM186" s="2207"/>
      <c r="AN186" s="2207"/>
      <c r="AO186" s="2207"/>
      <c r="AP186" s="2207"/>
      <c r="AQ186" s="2207"/>
      <c r="AR186" s="2207"/>
      <c r="AS186" s="2207"/>
      <c r="AT186" s="2207"/>
      <c r="AU186" s="2208"/>
      <c r="AV186" s="2208"/>
      <c r="AW186" s="2208"/>
      <c r="AX186" s="2208"/>
      <c r="AY186" s="2208"/>
      <c r="AZ186" s="2208"/>
      <c r="BA186" s="2208"/>
      <c r="BB186" s="2208"/>
      <c r="BC186" s="2215"/>
      <c r="BD186" s="2216"/>
      <c r="BE186" s="2217"/>
    </row>
    <row r="187" spans="1:57" ht="15.75" customHeight="1">
      <c r="A187" s="1208"/>
      <c r="B187" s="1208"/>
      <c r="C187" s="2231" t="s">
        <v>300</v>
      </c>
      <c r="D187" s="2174"/>
      <c r="E187" s="2227" t="s">
        <v>2256</v>
      </c>
      <c r="F187" s="2227"/>
      <c r="G187" s="2227"/>
      <c r="H187" s="2227"/>
      <c r="I187" s="2227"/>
      <c r="J187" s="2227"/>
      <c r="K187" s="2227"/>
      <c r="L187" s="2227"/>
      <c r="M187" s="2227"/>
      <c r="N187" s="2205">
        <v>0</v>
      </c>
      <c r="O187" s="2205"/>
      <c r="P187" s="2205"/>
      <c r="Q187" s="2205"/>
      <c r="R187" s="2205"/>
      <c r="S187" s="2205"/>
      <c r="T187" s="2205"/>
      <c r="U187" s="2056"/>
      <c r="V187" s="2056"/>
      <c r="W187" s="2056"/>
      <c r="X187" s="2056"/>
      <c r="Y187" s="2056"/>
      <c r="Z187" s="2056"/>
      <c r="AA187" s="2056"/>
      <c r="AB187" s="2056"/>
      <c r="AC187" s="2056"/>
      <c r="AD187" s="2056"/>
      <c r="AE187" s="2057"/>
      <c r="AF187" s="1208"/>
      <c r="AG187" s="1208"/>
      <c r="AH187" s="2232" t="s">
        <v>2257</v>
      </c>
      <c r="AI187" s="2233"/>
      <c r="AJ187" s="2233"/>
      <c r="AK187" s="2233"/>
      <c r="AL187" s="2233"/>
      <c r="AM187" s="2233"/>
      <c r="AN187" s="2233"/>
      <c r="AO187" s="2233"/>
      <c r="AP187" s="2233"/>
      <c r="AQ187" s="2233"/>
      <c r="AR187" s="2233"/>
      <c r="AS187" s="2233"/>
      <c r="AT187" s="2233"/>
      <c r="AU187" s="2234">
        <f>SUM(AU185:BB186)</f>
        <v>0</v>
      </c>
      <c r="AV187" s="2234"/>
      <c r="AW187" s="2234"/>
      <c r="AX187" s="2234"/>
      <c r="AY187" s="2234"/>
      <c r="AZ187" s="2234"/>
      <c r="BA187" s="2234"/>
      <c r="BB187" s="2234"/>
      <c r="BC187" s="2215"/>
      <c r="BD187" s="2216"/>
      <c r="BE187" s="2217"/>
    </row>
    <row r="188" spans="1:57" ht="15.75" customHeight="1" thickBot="1">
      <c r="A188" s="1208"/>
      <c r="B188" s="1208"/>
      <c r="C188" s="2094" t="s">
        <v>300</v>
      </c>
      <c r="D188" s="2044"/>
      <c r="E188" s="2227" t="s">
        <v>2256</v>
      </c>
      <c r="F188" s="2227"/>
      <c r="G188" s="2227"/>
      <c r="H188" s="2227"/>
      <c r="I188" s="2227"/>
      <c r="J188" s="2227"/>
      <c r="K188" s="2227"/>
      <c r="L188" s="2227"/>
      <c r="M188" s="2227"/>
      <c r="N188" s="2205">
        <v>0</v>
      </c>
      <c r="O188" s="2205"/>
      <c r="P188" s="2205"/>
      <c r="Q188" s="2205"/>
      <c r="R188" s="2205"/>
      <c r="S188" s="2205"/>
      <c r="T188" s="2205"/>
      <c r="U188" s="2056"/>
      <c r="V188" s="2056"/>
      <c r="W188" s="2056"/>
      <c r="X188" s="2056"/>
      <c r="Y188" s="2056"/>
      <c r="Z188" s="2056"/>
      <c r="AA188" s="2056"/>
      <c r="AB188" s="2056"/>
      <c r="AC188" s="2056"/>
      <c r="AD188" s="2056"/>
      <c r="AE188" s="205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28"/>
      <c r="BD188" s="2229"/>
      <c r="BE188" s="2230"/>
    </row>
    <row r="189" spans="1:57" ht="15.75" customHeight="1" thickBot="1">
      <c r="A189" s="1208"/>
      <c r="B189" s="1208"/>
      <c r="C189" s="2252" t="s">
        <v>300</v>
      </c>
      <c r="D189" s="2253"/>
      <c r="E189" s="2254" t="s">
        <v>2256</v>
      </c>
      <c r="F189" s="2254"/>
      <c r="G189" s="2254"/>
      <c r="H189" s="2254"/>
      <c r="I189" s="2254"/>
      <c r="J189" s="2254"/>
      <c r="K189" s="2254"/>
      <c r="L189" s="2254"/>
      <c r="M189" s="2255"/>
      <c r="N189" s="2256">
        <v>0</v>
      </c>
      <c r="O189" s="2256"/>
      <c r="P189" s="2256"/>
      <c r="Q189" s="2256"/>
      <c r="R189" s="2256"/>
      <c r="S189" s="2256"/>
      <c r="T189" s="2257"/>
      <c r="U189" s="2258"/>
      <c r="V189" s="2259"/>
      <c r="W189" s="2259"/>
      <c r="X189" s="2259"/>
      <c r="Y189" s="2259"/>
      <c r="Z189" s="2259"/>
      <c r="AA189" s="2259"/>
      <c r="AB189" s="2259"/>
      <c r="AC189" s="2259"/>
      <c r="AD189" s="2259"/>
      <c r="AE189" s="2260"/>
      <c r="AF189" s="1208"/>
      <c r="AG189" s="1208"/>
      <c r="AH189" s="2261" t="s">
        <v>2255</v>
      </c>
      <c r="AI189" s="2262"/>
      <c r="AJ189" s="2262"/>
      <c r="AK189" s="2262"/>
      <c r="AL189" s="2262"/>
      <c r="AM189" s="2262"/>
      <c r="AN189" s="2262"/>
      <c r="AO189" s="2262"/>
      <c r="AP189" s="2262"/>
      <c r="AQ189" s="2262"/>
      <c r="AR189" s="2262"/>
      <c r="AS189" s="2262"/>
      <c r="AT189" s="2262"/>
      <c r="AU189" s="2263"/>
      <c r="AV189" s="2263"/>
      <c r="AW189" s="2263"/>
      <c r="AX189" s="2263"/>
      <c r="AY189" s="2263"/>
      <c r="AZ189" s="2263"/>
      <c r="BA189" s="2263"/>
      <c r="BB189" s="2263"/>
      <c r="BC189" s="1164"/>
      <c r="BD189" s="1164"/>
      <c r="BE189" s="1252"/>
    </row>
    <row r="190" spans="1:57" ht="15.75" customHeight="1">
      <c r="A190" s="1208"/>
      <c r="B190" s="1208"/>
      <c r="C190" s="2235" t="s">
        <v>2254</v>
      </c>
      <c r="D190" s="2236"/>
      <c r="E190" s="2236"/>
      <c r="F190" s="2236"/>
      <c r="G190" s="2236"/>
      <c r="H190" s="2236"/>
      <c r="I190" s="2236"/>
      <c r="J190" s="2236"/>
      <c r="K190" s="2236"/>
      <c r="L190" s="2236"/>
      <c r="M190" s="2236"/>
      <c r="N190" s="2237">
        <f>SUM(N182:T189)</f>
        <v>4320349</v>
      </c>
      <c r="O190" s="2237"/>
      <c r="P190" s="2237"/>
      <c r="Q190" s="2237"/>
      <c r="R190" s="2237"/>
      <c r="S190" s="2237"/>
      <c r="T190" s="2238"/>
      <c r="U190" s="1208"/>
      <c r="V190" s="1208"/>
      <c r="W190" s="1208"/>
      <c r="X190" s="1208"/>
      <c r="Y190" s="1208"/>
      <c r="Z190" s="1208"/>
      <c r="AA190" s="1208"/>
      <c r="AB190" s="1208"/>
      <c r="AC190" s="1208"/>
      <c r="AD190" s="1208"/>
      <c r="AE190" s="1208"/>
      <c r="AF190" s="1208"/>
      <c r="AG190" s="1208"/>
      <c r="AH190" s="2239" t="s">
        <v>2253</v>
      </c>
      <c r="AI190" s="2240"/>
      <c r="AJ190" s="2240"/>
      <c r="AK190" s="2240"/>
      <c r="AL190" s="2240"/>
      <c r="AM190" s="2240"/>
      <c r="AN190" s="2240"/>
      <c r="AO190" s="2240"/>
      <c r="AP190" s="2240"/>
      <c r="AQ190" s="2240"/>
      <c r="AR190" s="2240"/>
      <c r="AS190" s="2240"/>
      <c r="AT190" s="2240"/>
      <c r="AU190" s="2240"/>
      <c r="AV190" s="2240"/>
      <c r="AW190" s="2240"/>
      <c r="AX190" s="2240"/>
      <c r="AY190" s="2240"/>
      <c r="AZ190" s="2240"/>
      <c r="BA190" s="2240"/>
      <c r="BB190" s="2240"/>
      <c r="BC190" s="2240"/>
      <c r="BD190" s="2240"/>
      <c r="BE190" s="2241"/>
    </row>
    <row r="191" spans="1:57" ht="15.75" customHeight="1" thickBot="1">
      <c r="A191" s="1208"/>
      <c r="B191" s="1208"/>
      <c r="C191" s="2245" t="s">
        <v>2252</v>
      </c>
      <c r="D191" s="2246"/>
      <c r="E191" s="2246"/>
      <c r="F191" s="2246"/>
      <c r="G191" s="2246"/>
      <c r="H191" s="2246"/>
      <c r="I191" s="2246"/>
      <c r="J191" s="2246"/>
      <c r="K191" s="2246"/>
      <c r="L191" s="2246"/>
      <c r="M191" s="2246"/>
      <c r="N191" s="2247">
        <f>(N180-N190)/J29</f>
        <v>626788.28421052627</v>
      </c>
      <c r="O191" s="2248"/>
      <c r="P191" s="2248"/>
      <c r="Q191" s="2248"/>
      <c r="R191" s="2248"/>
      <c r="S191" s="2248"/>
      <c r="T191" s="2249"/>
      <c r="U191" s="1216"/>
      <c r="V191" s="1208"/>
      <c r="W191" s="1208"/>
      <c r="X191" s="1208"/>
      <c r="Y191" s="1208"/>
      <c r="Z191" s="1208"/>
      <c r="AA191" s="1208"/>
      <c r="AB191" s="1208"/>
      <c r="AC191" s="1208"/>
      <c r="AD191" s="1208"/>
      <c r="AE191" s="1208"/>
      <c r="AF191" s="1208"/>
      <c r="AG191" s="1208"/>
      <c r="AH191" s="2242"/>
      <c r="AI191" s="2243"/>
      <c r="AJ191" s="2243"/>
      <c r="AK191" s="2243"/>
      <c r="AL191" s="2243"/>
      <c r="AM191" s="2243"/>
      <c r="AN191" s="2243"/>
      <c r="AO191" s="2243"/>
      <c r="AP191" s="2243"/>
      <c r="AQ191" s="2243"/>
      <c r="AR191" s="2243"/>
      <c r="AS191" s="2243"/>
      <c r="AT191" s="2243"/>
      <c r="AU191" s="2243"/>
      <c r="AV191" s="2243"/>
      <c r="AW191" s="2243"/>
      <c r="AX191" s="2243"/>
      <c r="AY191" s="2243"/>
      <c r="AZ191" s="2243"/>
      <c r="BA191" s="2243"/>
      <c r="BB191" s="2243"/>
      <c r="BC191" s="2243"/>
      <c r="BD191" s="2243"/>
      <c r="BE191" s="224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50"/>
      <c r="AI192" s="2250"/>
      <c r="AJ192" s="2250"/>
      <c r="AK192" s="2250"/>
      <c r="AL192" s="2250"/>
      <c r="AM192" s="2250"/>
      <c r="AN192" s="2250"/>
      <c r="AO192" s="2250"/>
      <c r="AP192" s="2250"/>
      <c r="AQ192" s="2250"/>
      <c r="AR192" s="2250"/>
      <c r="AS192" s="2251"/>
      <c r="AT192" s="2251"/>
      <c r="AU192" s="2251"/>
      <c r="AV192" s="2251"/>
      <c r="AW192" s="2251"/>
      <c r="AX192" s="2251"/>
      <c r="AY192" s="2251"/>
      <c r="AZ192" s="2251"/>
      <c r="BA192" s="2251"/>
      <c r="BB192" s="2251"/>
      <c r="BC192" s="2251"/>
      <c r="BD192" s="225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69" t="s">
        <v>2251</v>
      </c>
      <c r="D194" s="2270"/>
      <c r="E194" s="2270"/>
      <c r="F194" s="2270"/>
      <c r="G194" s="2270"/>
      <c r="H194" s="2270"/>
      <c r="I194" s="2270"/>
      <c r="J194" s="2270"/>
      <c r="K194" s="2270"/>
      <c r="L194" s="2270"/>
      <c r="M194" s="2270"/>
      <c r="N194" s="2270"/>
      <c r="O194" s="2270"/>
      <c r="P194" s="2270"/>
      <c r="Q194" s="2270"/>
      <c r="R194" s="2270"/>
      <c r="S194" s="2270"/>
      <c r="T194" s="2270"/>
      <c r="U194" s="2270"/>
      <c r="V194" s="2270"/>
      <c r="W194" s="2270"/>
      <c r="X194" s="2270"/>
      <c r="Y194" s="2270"/>
      <c r="Z194" s="2270"/>
      <c r="AA194" s="2270"/>
      <c r="AB194" s="2270"/>
      <c r="AC194" s="2270"/>
      <c r="AD194" s="2270"/>
      <c r="AE194" s="227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72" t="s">
        <v>2250</v>
      </c>
      <c r="D195" s="2272"/>
      <c r="E195" s="2272"/>
      <c r="F195" s="2272"/>
      <c r="G195" s="2272"/>
      <c r="H195" s="2272"/>
      <c r="I195" s="2272"/>
      <c r="J195" s="2272"/>
      <c r="K195" s="2272"/>
      <c r="L195" s="2272"/>
      <c r="M195" s="2272"/>
      <c r="N195" s="2272"/>
      <c r="O195" s="2273" t="s">
        <v>2249</v>
      </c>
      <c r="P195" s="2273"/>
      <c r="Q195" s="2273"/>
      <c r="R195" s="2273"/>
      <c r="S195" s="2273"/>
      <c r="T195" s="2273"/>
      <c r="U195" s="2273"/>
      <c r="V195" s="2273"/>
      <c r="W195" s="2273"/>
      <c r="X195" s="2273" t="s">
        <v>2248</v>
      </c>
      <c r="Y195" s="2273"/>
      <c r="Z195" s="2273"/>
      <c r="AA195" s="2273"/>
      <c r="AB195" s="2273"/>
      <c r="AC195" s="2273"/>
      <c r="AD195" s="2273"/>
      <c r="AE195" s="227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64" t="s">
        <v>2247</v>
      </c>
      <c r="D196" s="2264"/>
      <c r="E196" s="2264"/>
      <c r="F196" s="2264"/>
      <c r="G196" s="2264"/>
      <c r="H196" s="2264"/>
      <c r="I196" s="2264"/>
      <c r="J196" s="2264"/>
      <c r="K196" s="2264"/>
      <c r="L196" s="2264"/>
      <c r="M196" s="2264"/>
      <c r="N196" s="2264"/>
      <c r="O196" s="2265" t="s">
        <v>2246</v>
      </c>
      <c r="P196" s="2265"/>
      <c r="Q196" s="2265"/>
      <c r="R196" s="2265"/>
      <c r="S196" s="2265"/>
      <c r="T196" s="2265"/>
      <c r="U196" s="2265"/>
      <c r="V196" s="2265"/>
      <c r="W196" s="2265"/>
      <c r="X196" s="2266">
        <v>0.03</v>
      </c>
      <c r="Y196" s="2266"/>
      <c r="Z196" s="2266"/>
      <c r="AA196" s="2266"/>
      <c r="AB196" s="2266"/>
      <c r="AC196" s="2266"/>
      <c r="AD196" s="2266"/>
      <c r="AE196" s="226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64" t="s">
        <v>854</v>
      </c>
      <c r="D197" s="2264"/>
      <c r="E197" s="2264"/>
      <c r="F197" s="2264"/>
      <c r="G197" s="2264"/>
      <c r="H197" s="2264"/>
      <c r="I197" s="2264"/>
      <c r="J197" s="2264"/>
      <c r="K197" s="2264"/>
      <c r="L197" s="2264"/>
      <c r="M197" s="2264"/>
      <c r="N197" s="2264"/>
      <c r="O197" s="2265" t="s">
        <v>2246</v>
      </c>
      <c r="P197" s="2265"/>
      <c r="Q197" s="2265"/>
      <c r="R197" s="2265"/>
      <c r="S197" s="2265"/>
      <c r="T197" s="2265"/>
      <c r="U197" s="2265"/>
      <c r="V197" s="2265"/>
      <c r="W197" s="2265"/>
      <c r="X197" s="2266">
        <v>0.03</v>
      </c>
      <c r="Y197" s="2266"/>
      <c r="Z197" s="2266"/>
      <c r="AA197" s="2266"/>
      <c r="AB197" s="2266"/>
      <c r="AC197" s="2266"/>
      <c r="AD197" s="2266"/>
      <c r="AE197" s="226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64" t="s">
        <v>2245</v>
      </c>
      <c r="D198" s="2264"/>
      <c r="E198" s="2264"/>
      <c r="F198" s="2264"/>
      <c r="G198" s="2264"/>
      <c r="H198" s="2264"/>
      <c r="I198" s="2264"/>
      <c r="J198" s="2264"/>
      <c r="K198" s="2264"/>
      <c r="L198" s="2264"/>
      <c r="M198" s="2264"/>
      <c r="N198" s="2264"/>
      <c r="O198" s="2267">
        <f>SUM(O196:W197)</f>
        <v>0</v>
      </c>
      <c r="P198" s="2268"/>
      <c r="Q198" s="2268"/>
      <c r="R198" s="2268"/>
      <c r="S198" s="2268"/>
      <c r="T198" s="2268"/>
      <c r="U198" s="2268"/>
      <c r="V198" s="2268"/>
      <c r="W198" s="2268"/>
      <c r="X198" s="2268" t="s">
        <v>2244</v>
      </c>
      <c r="Y198" s="2268"/>
      <c r="Z198" s="2268"/>
      <c r="AA198" s="2268"/>
      <c r="AB198" s="2268"/>
      <c r="AC198" s="2268"/>
      <c r="AD198" s="2268"/>
      <c r="AE198" s="226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74" t="s">
        <v>2243</v>
      </c>
      <c r="D199" s="2274"/>
      <c r="E199" s="2274"/>
      <c r="F199" s="2274"/>
      <c r="G199" s="2274"/>
      <c r="H199" s="2274"/>
      <c r="I199" s="2274"/>
      <c r="J199" s="2274"/>
      <c r="K199" s="2274"/>
      <c r="L199" s="2274"/>
      <c r="M199" s="2274"/>
      <c r="N199" s="2274"/>
      <c r="O199" s="2274"/>
      <c r="P199" s="2274"/>
      <c r="Q199" s="2274"/>
      <c r="R199" s="2274"/>
      <c r="S199" s="2274"/>
      <c r="T199" s="2274"/>
      <c r="U199" s="2274"/>
      <c r="V199" s="2274"/>
      <c r="W199" s="2274"/>
      <c r="X199" s="2274"/>
      <c r="Y199" s="2274"/>
      <c r="Z199" s="2274"/>
      <c r="AA199" s="2274"/>
      <c r="AB199" s="2274"/>
      <c r="AC199" s="2274"/>
      <c r="AD199" s="2274"/>
      <c r="AE199" s="227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75" t="s">
        <v>2242</v>
      </c>
      <c r="D201" s="2276"/>
      <c r="E201" s="2276"/>
      <c r="F201" s="2276"/>
      <c r="G201" s="2276"/>
      <c r="H201" s="2276"/>
      <c r="I201" s="2276"/>
      <c r="J201" s="2276"/>
      <c r="K201" s="2276"/>
      <c r="L201" s="2276"/>
      <c r="M201" s="2276"/>
      <c r="N201" s="2276"/>
      <c r="O201" s="2276"/>
      <c r="P201" s="2276"/>
      <c r="Q201" s="2276"/>
      <c r="R201" s="2276"/>
      <c r="S201" s="2276"/>
      <c r="T201" s="2276"/>
      <c r="U201" s="2276"/>
      <c r="V201" s="2276"/>
      <c r="W201" s="2276"/>
      <c r="X201" s="2276"/>
      <c r="Y201" s="2276"/>
      <c r="Z201" s="2276"/>
      <c r="AA201" s="2276"/>
      <c r="AB201" s="2276"/>
      <c r="AC201" s="2276"/>
      <c r="AD201" s="2276"/>
      <c r="AE201" s="2276"/>
      <c r="AF201" s="2276"/>
      <c r="AG201" s="2276"/>
      <c r="AH201" s="2276"/>
      <c r="AI201" s="2276"/>
      <c r="AJ201" s="2276"/>
      <c r="AK201" s="227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78" t="s">
        <v>2241</v>
      </c>
      <c r="D202" s="2279"/>
      <c r="E202" s="2279"/>
      <c r="F202" s="2280"/>
      <c r="G202" s="2284" t="s">
        <v>2240</v>
      </c>
      <c r="H202" s="2279"/>
      <c r="I202" s="2279"/>
      <c r="J202" s="2279"/>
      <c r="K202" s="2279"/>
      <c r="L202" s="2279"/>
      <c r="M202" s="2279"/>
      <c r="N202" s="2279"/>
      <c r="O202" s="2280"/>
      <c r="P202" s="2286" t="s">
        <v>2239</v>
      </c>
      <c r="Q202" s="2287"/>
      <c r="R202" s="2287"/>
      <c r="S202" s="2287"/>
      <c r="T202" s="2288"/>
      <c r="U202" s="2292" t="s">
        <v>2238</v>
      </c>
      <c r="V202" s="2293"/>
      <c r="W202" s="2293"/>
      <c r="X202" s="2294"/>
      <c r="Y202" s="2292" t="s">
        <v>2237</v>
      </c>
      <c r="Z202" s="2293"/>
      <c r="AA202" s="2293"/>
      <c r="AB202" s="2294"/>
      <c r="AC202" s="2292" t="s">
        <v>2236</v>
      </c>
      <c r="AD202" s="2293"/>
      <c r="AE202" s="2293"/>
      <c r="AF202" s="2294"/>
      <c r="AG202" s="2284" t="s">
        <v>2235</v>
      </c>
      <c r="AH202" s="2279"/>
      <c r="AI202" s="2279"/>
      <c r="AJ202" s="2279"/>
      <c r="AK202" s="229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81"/>
      <c r="D203" s="2282"/>
      <c r="E203" s="2282"/>
      <c r="F203" s="2283"/>
      <c r="G203" s="2285"/>
      <c r="H203" s="2282"/>
      <c r="I203" s="2282"/>
      <c r="J203" s="2282"/>
      <c r="K203" s="2282"/>
      <c r="L203" s="2282"/>
      <c r="M203" s="2282"/>
      <c r="N203" s="2282"/>
      <c r="O203" s="2283"/>
      <c r="P203" s="2289"/>
      <c r="Q203" s="2290"/>
      <c r="R203" s="2290"/>
      <c r="S203" s="2290"/>
      <c r="T203" s="2291"/>
      <c r="U203" s="2295"/>
      <c r="V203" s="2296"/>
      <c r="W203" s="2296"/>
      <c r="X203" s="2297"/>
      <c r="Y203" s="2295"/>
      <c r="Z203" s="2296"/>
      <c r="AA203" s="2296"/>
      <c r="AB203" s="2297"/>
      <c r="AC203" s="2295"/>
      <c r="AD203" s="2296"/>
      <c r="AE203" s="2296"/>
      <c r="AF203" s="2297"/>
      <c r="AG203" s="2285"/>
      <c r="AH203" s="2282"/>
      <c r="AI203" s="2282"/>
      <c r="AJ203" s="2282"/>
      <c r="AK203" s="229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303">
        <v>1</v>
      </c>
      <c r="D204" s="2304"/>
      <c r="E204" s="2304"/>
      <c r="F204" s="2304"/>
      <c r="G204" s="2305" t="s">
        <v>1857</v>
      </c>
      <c r="H204" s="2305"/>
      <c r="I204" s="2305"/>
      <c r="J204" s="2305"/>
      <c r="K204" s="2305"/>
      <c r="L204" s="2305"/>
      <c r="M204" s="2305"/>
      <c r="N204" s="2305"/>
      <c r="O204" s="2305"/>
      <c r="P204" s="2306"/>
      <c r="Q204" s="2309"/>
      <c r="R204" s="2309"/>
      <c r="S204" s="2309"/>
      <c r="T204" s="2309"/>
      <c r="U204" s="2307" t="s">
        <v>1857</v>
      </c>
      <c r="V204" s="2307"/>
      <c r="W204" s="2307"/>
      <c r="X204" s="2307"/>
      <c r="Y204" s="2307" t="s">
        <v>1857</v>
      </c>
      <c r="Z204" s="2307"/>
      <c r="AA204" s="2307"/>
      <c r="AB204" s="2307"/>
      <c r="AC204" s="2308" t="s">
        <v>1857</v>
      </c>
      <c r="AD204" s="2308"/>
      <c r="AE204" s="2308"/>
      <c r="AF204" s="2308"/>
      <c r="AG204" s="2300"/>
      <c r="AH204" s="2301"/>
      <c r="AI204" s="2301"/>
      <c r="AJ204" s="2301"/>
      <c r="AK204" s="230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303">
        <v>2</v>
      </c>
      <c r="D205" s="2304"/>
      <c r="E205" s="2304"/>
      <c r="F205" s="2304"/>
      <c r="G205" s="2305" t="s">
        <v>1857</v>
      </c>
      <c r="H205" s="2305"/>
      <c r="I205" s="2305"/>
      <c r="J205" s="2305"/>
      <c r="K205" s="2305"/>
      <c r="L205" s="2305"/>
      <c r="M205" s="2305"/>
      <c r="N205" s="2305"/>
      <c r="O205" s="2305"/>
      <c r="P205" s="2306"/>
      <c r="Q205" s="2306"/>
      <c r="R205" s="2306"/>
      <c r="S205" s="2306"/>
      <c r="T205" s="2306"/>
      <c r="U205" s="2307" t="s">
        <v>1857</v>
      </c>
      <c r="V205" s="2307"/>
      <c r="W205" s="2307"/>
      <c r="X205" s="2307"/>
      <c r="Y205" s="2307" t="s">
        <v>1857</v>
      </c>
      <c r="Z205" s="2307"/>
      <c r="AA205" s="2307"/>
      <c r="AB205" s="2307"/>
      <c r="AC205" s="2308" t="s">
        <v>1857</v>
      </c>
      <c r="AD205" s="2308"/>
      <c r="AE205" s="2308"/>
      <c r="AF205" s="2308"/>
      <c r="AG205" s="2300"/>
      <c r="AH205" s="2301"/>
      <c r="AI205" s="2301"/>
      <c r="AJ205" s="2301"/>
      <c r="AK205" s="230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303">
        <v>3</v>
      </c>
      <c r="D206" s="2304"/>
      <c r="E206" s="2304"/>
      <c r="F206" s="2304"/>
      <c r="G206" s="2305" t="s">
        <v>1857</v>
      </c>
      <c r="H206" s="2305"/>
      <c r="I206" s="2305"/>
      <c r="J206" s="2305"/>
      <c r="K206" s="2305"/>
      <c r="L206" s="2305"/>
      <c r="M206" s="2305"/>
      <c r="N206" s="2305"/>
      <c r="O206" s="2305"/>
      <c r="P206" s="2306"/>
      <c r="Q206" s="2306"/>
      <c r="R206" s="2306"/>
      <c r="S206" s="2306"/>
      <c r="T206" s="2306"/>
      <c r="U206" s="2307" t="s">
        <v>1857</v>
      </c>
      <c r="V206" s="2307"/>
      <c r="W206" s="2307"/>
      <c r="X206" s="2307"/>
      <c r="Y206" s="2307" t="s">
        <v>1857</v>
      </c>
      <c r="Z206" s="2307"/>
      <c r="AA206" s="2307"/>
      <c r="AB206" s="2307"/>
      <c r="AC206" s="2308" t="s">
        <v>1857</v>
      </c>
      <c r="AD206" s="2308"/>
      <c r="AE206" s="2308"/>
      <c r="AF206" s="2308"/>
      <c r="AG206" s="2300"/>
      <c r="AH206" s="2301"/>
      <c r="AI206" s="2301"/>
      <c r="AJ206" s="2301"/>
      <c r="AK206" s="230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303">
        <v>4</v>
      </c>
      <c r="D207" s="2304"/>
      <c r="E207" s="2304"/>
      <c r="F207" s="2304"/>
      <c r="G207" s="2305" t="s">
        <v>1857</v>
      </c>
      <c r="H207" s="2305"/>
      <c r="I207" s="2305"/>
      <c r="J207" s="2305"/>
      <c r="K207" s="2305"/>
      <c r="L207" s="2305"/>
      <c r="M207" s="2305"/>
      <c r="N207" s="2305"/>
      <c r="O207" s="2305"/>
      <c r="P207" s="2306"/>
      <c r="Q207" s="2306"/>
      <c r="R207" s="2306"/>
      <c r="S207" s="2306"/>
      <c r="T207" s="2306"/>
      <c r="U207" s="2307" t="s">
        <v>1857</v>
      </c>
      <c r="V207" s="2307"/>
      <c r="W207" s="2307"/>
      <c r="X207" s="2307"/>
      <c r="Y207" s="2307" t="s">
        <v>1857</v>
      </c>
      <c r="Z207" s="2307"/>
      <c r="AA207" s="2307"/>
      <c r="AB207" s="2307"/>
      <c r="AC207" s="2308" t="s">
        <v>1857</v>
      </c>
      <c r="AD207" s="2308"/>
      <c r="AE207" s="2308"/>
      <c r="AF207" s="2308"/>
      <c r="AG207" s="2300"/>
      <c r="AH207" s="2301"/>
      <c r="AI207" s="2301"/>
      <c r="AJ207" s="2301"/>
      <c r="AK207" s="230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303">
        <v>5</v>
      </c>
      <c r="D208" s="2304"/>
      <c r="E208" s="2304"/>
      <c r="F208" s="2304"/>
      <c r="G208" s="2305" t="s">
        <v>1857</v>
      </c>
      <c r="H208" s="2305"/>
      <c r="I208" s="2305"/>
      <c r="J208" s="2305"/>
      <c r="K208" s="2305"/>
      <c r="L208" s="2305"/>
      <c r="M208" s="2305"/>
      <c r="N208" s="2305"/>
      <c r="O208" s="2305"/>
      <c r="P208" s="2306"/>
      <c r="Q208" s="2306"/>
      <c r="R208" s="2306"/>
      <c r="S208" s="2306"/>
      <c r="T208" s="2306"/>
      <c r="U208" s="2307" t="s">
        <v>1857</v>
      </c>
      <c r="V208" s="2307"/>
      <c r="W208" s="2307"/>
      <c r="X208" s="2307"/>
      <c r="Y208" s="2307" t="s">
        <v>1857</v>
      </c>
      <c r="Z208" s="2307"/>
      <c r="AA208" s="2307"/>
      <c r="AB208" s="2307"/>
      <c r="AC208" s="2308" t="s">
        <v>1857</v>
      </c>
      <c r="AD208" s="2308"/>
      <c r="AE208" s="2308"/>
      <c r="AF208" s="2308"/>
      <c r="AG208" s="2300"/>
      <c r="AH208" s="2301"/>
      <c r="AI208" s="2301"/>
      <c r="AJ208" s="2301"/>
      <c r="AK208" s="230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303">
        <v>6</v>
      </c>
      <c r="D209" s="2304"/>
      <c r="E209" s="2304"/>
      <c r="F209" s="2304"/>
      <c r="G209" s="2305" t="s">
        <v>1857</v>
      </c>
      <c r="H209" s="2305"/>
      <c r="I209" s="2305"/>
      <c r="J209" s="2305"/>
      <c r="K209" s="2305"/>
      <c r="L209" s="2305"/>
      <c r="M209" s="2305"/>
      <c r="N209" s="2305"/>
      <c r="O209" s="2305"/>
      <c r="P209" s="2306"/>
      <c r="Q209" s="2306"/>
      <c r="R209" s="2306"/>
      <c r="S209" s="2306"/>
      <c r="T209" s="2306"/>
      <c r="U209" s="2307"/>
      <c r="V209" s="2307"/>
      <c r="W209" s="2307"/>
      <c r="X209" s="2307"/>
      <c r="Y209" s="2307"/>
      <c r="Z209" s="2307"/>
      <c r="AA209" s="2307"/>
      <c r="AB209" s="2307"/>
      <c r="AC209" s="2308" t="s">
        <v>1857</v>
      </c>
      <c r="AD209" s="2308"/>
      <c r="AE209" s="2308"/>
      <c r="AF209" s="2308"/>
      <c r="AG209" s="2300"/>
      <c r="AH209" s="2301"/>
      <c r="AI209" s="2301"/>
      <c r="AJ209" s="2301"/>
      <c r="AK209" s="230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303">
        <v>7</v>
      </c>
      <c r="D210" s="2304"/>
      <c r="E210" s="2304"/>
      <c r="F210" s="2304"/>
      <c r="G210" s="2305"/>
      <c r="H210" s="2305"/>
      <c r="I210" s="2305"/>
      <c r="J210" s="2305"/>
      <c r="K210" s="2305"/>
      <c r="L210" s="2305"/>
      <c r="M210" s="2305"/>
      <c r="N210" s="2305"/>
      <c r="O210" s="2305"/>
      <c r="P210" s="2306"/>
      <c r="Q210" s="2306"/>
      <c r="R210" s="2306"/>
      <c r="S210" s="2306"/>
      <c r="T210" s="2306"/>
      <c r="U210" s="2307"/>
      <c r="V210" s="2307"/>
      <c r="W210" s="2307"/>
      <c r="X210" s="2307"/>
      <c r="Y210" s="2307"/>
      <c r="Z210" s="2307"/>
      <c r="AA210" s="2307"/>
      <c r="AB210" s="2307"/>
      <c r="AC210" s="2308" t="s">
        <v>1857</v>
      </c>
      <c r="AD210" s="2308"/>
      <c r="AE210" s="2308"/>
      <c r="AF210" s="2308"/>
      <c r="AG210" s="2300"/>
      <c r="AH210" s="2301"/>
      <c r="AI210" s="2301"/>
      <c r="AJ210" s="2301"/>
      <c r="AK210" s="230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22" t="s">
        <v>2234</v>
      </c>
      <c r="D211" s="2323"/>
      <c r="E211" s="2323"/>
      <c r="F211" s="2323"/>
      <c r="G211" s="2323"/>
      <c r="H211" s="2323"/>
      <c r="I211" s="2323"/>
      <c r="J211" s="2323"/>
      <c r="K211" s="2323"/>
      <c r="L211" s="2323"/>
      <c r="M211" s="2323"/>
      <c r="N211" s="2323"/>
      <c r="O211" s="2323"/>
      <c r="P211" s="2324"/>
      <c r="Q211" s="2324"/>
      <c r="R211" s="2324"/>
      <c r="S211" s="2324"/>
      <c r="T211" s="2324"/>
      <c r="U211" s="2325">
        <f>-SUM(U204:U210)</f>
        <v>0</v>
      </c>
      <c r="V211" s="2325"/>
      <c r="W211" s="2325"/>
      <c r="X211" s="2325"/>
      <c r="Y211" s="2325">
        <f>-SUM(Y204:Y210)</f>
        <v>0</v>
      </c>
      <c r="Z211" s="2325"/>
      <c r="AA211" s="2325"/>
      <c r="AB211" s="2325"/>
      <c r="AC211" s="2326">
        <f>-SUM(AC204:AC210)</f>
        <v>0</v>
      </c>
      <c r="AD211" s="2326"/>
      <c r="AE211" s="2326"/>
      <c r="AF211" s="2326"/>
      <c r="AG211" s="2327"/>
      <c r="AH211" s="2328"/>
      <c r="AI211" s="2328"/>
      <c r="AJ211" s="2328"/>
      <c r="AK211" s="232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310" t="s">
        <v>2232</v>
      </c>
      <c r="C216" s="2311"/>
      <c r="D216" s="2311"/>
      <c r="E216" s="2311"/>
      <c r="F216" s="2311"/>
      <c r="G216" s="2311"/>
      <c r="H216" s="2311"/>
      <c r="I216" s="2311"/>
      <c r="J216" s="2311"/>
      <c r="K216" s="2311"/>
      <c r="L216" s="2311"/>
      <c r="M216" s="2311"/>
      <c r="N216" s="2311"/>
      <c r="O216" s="2311"/>
      <c r="P216" s="2311"/>
      <c r="Q216" s="2311"/>
      <c r="R216" s="2311"/>
      <c r="S216" s="2311"/>
      <c r="T216" s="2311"/>
      <c r="U216" s="2311"/>
      <c r="V216" s="2311"/>
      <c r="W216" s="2311"/>
      <c r="X216" s="2311"/>
      <c r="Y216" s="2311"/>
      <c r="Z216" s="2311"/>
      <c r="AA216" s="2311"/>
      <c r="AB216" s="2311"/>
      <c r="AC216" s="2311"/>
      <c r="AD216" s="2311"/>
      <c r="AE216" s="2311"/>
      <c r="AF216" s="2311"/>
      <c r="AG216" s="2311"/>
      <c r="AH216" s="2311"/>
      <c r="AI216" s="2311"/>
      <c r="AJ216" s="2311"/>
      <c r="AK216" s="2311"/>
      <c r="AL216" s="2311"/>
      <c r="AM216" s="2311"/>
      <c r="AN216" s="2311"/>
      <c r="AO216" s="2311"/>
      <c r="AP216" s="2311"/>
      <c r="AQ216" s="2311"/>
      <c r="AR216" s="2311"/>
      <c r="AS216" s="2311"/>
      <c r="AT216" s="2311"/>
      <c r="AU216" s="2311"/>
      <c r="AV216" s="2311"/>
      <c r="AW216" s="2311"/>
      <c r="AX216" s="2311"/>
      <c r="AY216" s="2311"/>
      <c r="AZ216" s="2311"/>
      <c r="BA216" s="2311"/>
      <c r="BB216" s="2311"/>
      <c r="BC216" s="2311"/>
      <c r="BD216" s="2312"/>
      <c r="BE216" s="1215"/>
    </row>
    <row r="217" spans="1:57" ht="15.75" customHeight="1">
      <c r="A217" s="1208"/>
      <c r="B217" s="2313"/>
      <c r="C217" s="2314"/>
      <c r="D217" s="2314"/>
      <c r="E217" s="2314"/>
      <c r="F217" s="2314"/>
      <c r="G217" s="2314"/>
      <c r="H217" s="2314"/>
      <c r="I217" s="2314"/>
      <c r="J217" s="2314"/>
      <c r="K217" s="2314"/>
      <c r="L217" s="2314"/>
      <c r="M217" s="2314"/>
      <c r="N217" s="2314"/>
      <c r="O217" s="2314"/>
      <c r="P217" s="2314"/>
      <c r="Q217" s="2314"/>
      <c r="R217" s="2314"/>
      <c r="S217" s="2314"/>
      <c r="T217" s="2314"/>
      <c r="U217" s="2314"/>
      <c r="V217" s="2314"/>
      <c r="W217" s="2314"/>
      <c r="X217" s="2314"/>
      <c r="Y217" s="2314"/>
      <c r="Z217" s="2314"/>
      <c r="AA217" s="2314"/>
      <c r="AB217" s="2314"/>
      <c r="AC217" s="2314"/>
      <c r="AD217" s="2314"/>
      <c r="AE217" s="2314"/>
      <c r="AF217" s="2314"/>
      <c r="AG217" s="2314"/>
      <c r="AH217" s="2314"/>
      <c r="AI217" s="2314"/>
      <c r="AJ217" s="2314"/>
      <c r="AK217" s="2314"/>
      <c r="AL217" s="2314"/>
      <c r="AM217" s="2314"/>
      <c r="AN217" s="2314"/>
      <c r="AO217" s="2314"/>
      <c r="AP217" s="2314"/>
      <c r="AQ217" s="2314"/>
      <c r="AR217" s="2314"/>
      <c r="AS217" s="2314"/>
      <c r="AT217" s="2314"/>
      <c r="AU217" s="2314"/>
      <c r="AV217" s="2314"/>
      <c r="AW217" s="2314"/>
      <c r="AX217" s="2314"/>
      <c r="AY217" s="2314"/>
      <c r="AZ217" s="2314"/>
      <c r="BA217" s="2314"/>
      <c r="BB217" s="2314"/>
      <c r="BC217" s="2314"/>
      <c r="BD217" s="2315"/>
      <c r="BE217" s="1215"/>
    </row>
    <row r="218" spans="1:57" ht="15.75" customHeight="1">
      <c r="A218" s="1208"/>
      <c r="B218" s="2316" t="s">
        <v>2231</v>
      </c>
      <c r="C218" s="2317"/>
      <c r="D218" s="2317"/>
      <c r="E218" s="2317"/>
      <c r="F218" s="2317"/>
      <c r="G218" s="2317"/>
      <c r="H218" s="2317"/>
      <c r="I218" s="2317"/>
      <c r="J218" s="2317"/>
      <c r="K218" s="2317"/>
      <c r="L218" s="2317"/>
      <c r="M218" s="2317"/>
      <c r="N218" s="2317"/>
      <c r="O218" s="2317"/>
      <c r="P218" s="2317"/>
      <c r="Q218" s="2317"/>
      <c r="R218" s="2317"/>
      <c r="S218" s="2317"/>
      <c r="T218" s="2317"/>
      <c r="U218" s="2317"/>
      <c r="V218" s="2317"/>
      <c r="W218" s="2317"/>
      <c r="X218" s="2317"/>
      <c r="Y218" s="2317"/>
      <c r="Z218" s="2317"/>
      <c r="AA218" s="2317"/>
      <c r="AB218" s="2317"/>
      <c r="AC218" s="2317"/>
      <c r="AD218" s="2317"/>
      <c r="AE218" s="2317"/>
      <c r="AF218" s="2317"/>
      <c r="AG218" s="2317"/>
      <c r="AH218" s="2317"/>
      <c r="AI218" s="2317"/>
      <c r="AJ218" s="2317"/>
      <c r="AK218" s="2317"/>
      <c r="AL218" s="2317"/>
      <c r="AM218" s="2317"/>
      <c r="AN218" s="2317"/>
      <c r="AO218" s="2317"/>
      <c r="AP218" s="2317"/>
      <c r="AQ218" s="2317"/>
      <c r="AR218" s="2317"/>
      <c r="AS218" s="2317"/>
      <c r="AT218" s="2317"/>
      <c r="AU218" s="2317"/>
      <c r="AV218" s="2317"/>
      <c r="AW218" s="2317"/>
      <c r="AX218" s="2317"/>
      <c r="AY218" s="2317"/>
      <c r="AZ218" s="2317"/>
      <c r="BA218" s="2317"/>
      <c r="BB218" s="2317"/>
      <c r="BC218" s="2317"/>
      <c r="BD218" s="2318"/>
      <c r="BE218" s="1215"/>
    </row>
    <row r="219" spans="1:57" ht="15.75" customHeight="1">
      <c r="A219" s="1208"/>
      <c r="B219" s="2316" t="s">
        <v>2230</v>
      </c>
      <c r="C219" s="2317"/>
      <c r="D219" s="2317"/>
      <c r="E219" s="2317"/>
      <c r="F219" s="2317"/>
      <c r="G219" s="2317"/>
      <c r="H219" s="2317"/>
      <c r="I219" s="2317"/>
      <c r="J219" s="2317"/>
      <c r="K219" s="2317"/>
      <c r="L219" s="2317"/>
      <c r="M219" s="2317"/>
      <c r="N219" s="2317"/>
      <c r="O219" s="2317"/>
      <c r="P219" s="2317"/>
      <c r="Q219" s="2317"/>
      <c r="R219" s="2317"/>
      <c r="S219" s="2317"/>
      <c r="T219" s="2317"/>
      <c r="U219" s="2317"/>
      <c r="V219" s="2317"/>
      <c r="W219" s="2317"/>
      <c r="X219" s="2317"/>
      <c r="Y219" s="2317"/>
      <c r="Z219" s="2317"/>
      <c r="AA219" s="2317"/>
      <c r="AB219" s="2317"/>
      <c r="AC219" s="2317"/>
      <c r="AD219" s="2317"/>
      <c r="AE219" s="2317"/>
      <c r="AF219" s="2317"/>
      <c r="AG219" s="2317"/>
      <c r="AH219" s="2317"/>
      <c r="AI219" s="2317"/>
      <c r="AJ219" s="2317"/>
      <c r="AK219" s="2317"/>
      <c r="AL219" s="2317"/>
      <c r="AM219" s="2317"/>
      <c r="AN219" s="2317"/>
      <c r="AO219" s="2317"/>
      <c r="AP219" s="2317"/>
      <c r="AQ219" s="2317"/>
      <c r="AR219" s="2317"/>
      <c r="AS219" s="2317"/>
      <c r="AT219" s="2317"/>
      <c r="AU219" s="2317"/>
      <c r="AV219" s="2317"/>
      <c r="AW219" s="2317"/>
      <c r="AX219" s="2317"/>
      <c r="AY219" s="2317"/>
      <c r="AZ219" s="2317"/>
      <c r="BA219" s="2317"/>
      <c r="BB219" s="2317"/>
      <c r="BC219" s="2317"/>
      <c r="BD219" s="2318"/>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19" t="s">
        <v>2229</v>
      </c>
      <c r="C221" s="2209"/>
      <c r="D221" s="2209"/>
      <c r="E221" s="2209"/>
      <c r="F221" s="2209"/>
      <c r="G221" s="2209"/>
      <c r="H221" s="2209"/>
      <c r="I221" s="2209"/>
      <c r="J221" s="2209"/>
      <c r="K221" s="2209"/>
      <c r="L221" s="2209"/>
      <c r="M221" s="2209"/>
      <c r="N221" s="2209"/>
      <c r="O221" s="2209"/>
      <c r="P221" s="2209"/>
      <c r="Q221" s="2209"/>
      <c r="R221" s="2209"/>
      <c r="S221" s="2209"/>
      <c r="T221" s="2209"/>
      <c r="U221" s="2209"/>
      <c r="V221" s="2209"/>
      <c r="W221" s="2209"/>
      <c r="X221" s="2209"/>
      <c r="Y221" s="2209"/>
      <c r="Z221" s="2209"/>
      <c r="AA221" s="2209"/>
      <c r="AB221" s="2209"/>
      <c r="AC221" s="2209"/>
      <c r="AD221" s="2209"/>
      <c r="AE221" s="2209"/>
      <c r="AF221" s="2209"/>
      <c r="AG221" s="2209"/>
      <c r="AH221" s="2209"/>
      <c r="AI221" s="2209"/>
      <c r="AJ221" s="2209"/>
      <c r="AK221" s="2209"/>
      <c r="AL221" s="2209"/>
      <c r="AM221" s="2209"/>
      <c r="AN221" s="2209"/>
      <c r="AO221" s="2209"/>
      <c r="AP221" s="2209"/>
      <c r="AQ221" s="2209"/>
      <c r="AR221" s="2209"/>
      <c r="AS221" s="2209"/>
      <c r="AT221" s="2209"/>
      <c r="AU221" s="2209"/>
      <c r="AV221" s="2209"/>
      <c r="AW221" s="2209"/>
      <c r="AX221" s="2209"/>
      <c r="AY221" s="2209"/>
      <c r="AZ221" s="2209"/>
      <c r="BA221" s="2209"/>
      <c r="BB221" s="2209"/>
      <c r="BC221" s="2209"/>
      <c r="BD221" s="232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21" t="s">
        <v>2227</v>
      </c>
      <c r="I225" s="2321"/>
      <c r="J225" s="2321"/>
      <c r="K225" s="2321"/>
      <c r="L225" s="2321"/>
      <c r="M225" s="2321"/>
      <c r="N225" s="2321"/>
      <c r="O225" s="2321"/>
      <c r="P225" s="2321"/>
      <c r="Q225" s="2321"/>
      <c r="R225" s="2321"/>
      <c r="S225" s="2321"/>
      <c r="T225" s="2321"/>
      <c r="U225" s="2321"/>
      <c r="V225" s="2321"/>
      <c r="W225" s="2321"/>
      <c r="X225" s="2321"/>
      <c r="Y225" s="2321"/>
      <c r="Z225" s="2321"/>
      <c r="AA225" s="2321"/>
      <c r="AB225" s="2321"/>
      <c r="AC225" s="2321"/>
      <c r="AD225" s="2321"/>
      <c r="AE225" s="2321"/>
      <c r="AF225" s="2321"/>
      <c r="AG225" s="2321"/>
      <c r="AH225" s="2321"/>
      <c r="AI225" s="2321"/>
      <c r="AJ225" s="2321"/>
      <c r="AK225" s="2321"/>
      <c r="AL225" s="2321"/>
      <c r="AM225" s="2321"/>
      <c r="AN225" s="2321"/>
      <c r="AO225" s="2321"/>
      <c r="AP225" s="2321"/>
      <c r="AQ225" s="2321"/>
      <c r="AR225" s="2321"/>
      <c r="AS225" s="2321"/>
      <c r="AT225" s="2321"/>
      <c r="AU225" s="2321"/>
      <c r="AV225" s="2321"/>
      <c r="AW225" s="2321"/>
      <c r="AX225" s="2321"/>
      <c r="AY225" s="232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39" t="s">
        <v>2226</v>
      </c>
      <c r="I227" s="2339"/>
      <c r="J227" s="2339"/>
      <c r="K227" s="2339"/>
      <c r="L227" s="2339"/>
      <c r="M227" s="2339"/>
      <c r="N227" s="2339"/>
      <c r="O227" s="2339"/>
      <c r="P227" s="2339"/>
      <c r="Q227" s="2339"/>
      <c r="R227" s="2339"/>
      <c r="S227" s="2339"/>
      <c r="T227" s="2339"/>
      <c r="U227" s="2339"/>
      <c r="V227" s="2339"/>
      <c r="W227" s="2339"/>
      <c r="X227" s="2339"/>
      <c r="Y227" s="2339"/>
      <c r="Z227" s="2339"/>
      <c r="AA227" s="2339"/>
      <c r="AB227" s="2339"/>
      <c r="AC227" s="2339"/>
      <c r="AD227" s="2339"/>
      <c r="AE227" s="2339"/>
      <c r="AF227" s="2339"/>
      <c r="AG227" s="2339"/>
      <c r="AH227" s="2339"/>
      <c r="AI227" s="2339"/>
      <c r="AJ227" s="2339"/>
      <c r="AK227" s="2339"/>
      <c r="AL227" s="2339"/>
      <c r="AM227" s="2339"/>
      <c r="AN227" s="2339"/>
      <c r="AO227" s="2339"/>
      <c r="AP227" s="2339"/>
      <c r="AQ227" s="2339"/>
      <c r="AR227" s="2339"/>
      <c r="AS227" s="2339"/>
      <c r="AT227" s="2339"/>
      <c r="AU227" s="2339"/>
      <c r="AV227" s="2339"/>
      <c r="AW227" s="2339"/>
      <c r="AX227" s="2339"/>
      <c r="AY227" s="2339"/>
      <c r="AZ227" s="2339"/>
      <c r="BA227" s="1208"/>
      <c r="BB227" s="1208"/>
      <c r="BC227" s="1208"/>
      <c r="BD227" s="1215"/>
      <c r="BE227" s="1215"/>
    </row>
    <row r="228" spans="1:57" ht="15.75" customHeight="1">
      <c r="A228" s="1208"/>
      <c r="B228" s="1207"/>
      <c r="C228" s="1208"/>
      <c r="D228" s="1208"/>
      <c r="E228" s="1208"/>
      <c r="F228" s="1208"/>
      <c r="G228" s="1208"/>
      <c r="H228" s="2339"/>
      <c r="I228" s="2339"/>
      <c r="J228" s="2339"/>
      <c r="K228" s="2339"/>
      <c r="L228" s="2339"/>
      <c r="M228" s="2339"/>
      <c r="N228" s="2339"/>
      <c r="O228" s="2339"/>
      <c r="P228" s="2339"/>
      <c r="Q228" s="2339"/>
      <c r="R228" s="2339"/>
      <c r="S228" s="2339"/>
      <c r="T228" s="2339"/>
      <c r="U228" s="2339"/>
      <c r="V228" s="2339"/>
      <c r="W228" s="2339"/>
      <c r="X228" s="2339"/>
      <c r="Y228" s="2339"/>
      <c r="Z228" s="2339"/>
      <c r="AA228" s="2339"/>
      <c r="AB228" s="2339"/>
      <c r="AC228" s="2339"/>
      <c r="AD228" s="2339"/>
      <c r="AE228" s="2339"/>
      <c r="AF228" s="2339"/>
      <c r="AG228" s="2339"/>
      <c r="AH228" s="2339"/>
      <c r="AI228" s="2339"/>
      <c r="AJ228" s="2339"/>
      <c r="AK228" s="2339"/>
      <c r="AL228" s="2339"/>
      <c r="AM228" s="2339"/>
      <c r="AN228" s="2339"/>
      <c r="AO228" s="2339"/>
      <c r="AP228" s="2339"/>
      <c r="AQ228" s="2339"/>
      <c r="AR228" s="2339"/>
      <c r="AS228" s="2339"/>
      <c r="AT228" s="2339"/>
      <c r="AU228" s="2339"/>
      <c r="AV228" s="2339"/>
      <c r="AW228" s="2339"/>
      <c r="AX228" s="2339"/>
      <c r="AY228" s="2339"/>
      <c r="AZ228" s="2339"/>
      <c r="BA228" s="1208"/>
      <c r="BB228" s="1208"/>
      <c r="BC228" s="1208"/>
      <c r="BD228" s="1215"/>
      <c r="BE228" s="1215"/>
    </row>
    <row r="229" spans="1:57" ht="15.75" customHeight="1">
      <c r="A229" s="1208"/>
      <c r="B229" s="1207"/>
      <c r="C229" s="1208"/>
      <c r="D229" s="1208"/>
      <c r="E229" s="1208"/>
      <c r="F229" s="1208"/>
      <c r="G229" s="1208"/>
      <c r="H229" s="2339"/>
      <c r="I229" s="2339"/>
      <c r="J229" s="2339"/>
      <c r="K229" s="2339"/>
      <c r="L229" s="2339"/>
      <c r="M229" s="2339"/>
      <c r="N229" s="2339"/>
      <c r="O229" s="2339"/>
      <c r="P229" s="2339"/>
      <c r="Q229" s="2339"/>
      <c r="R229" s="2339"/>
      <c r="S229" s="2339"/>
      <c r="T229" s="2339"/>
      <c r="U229" s="2339"/>
      <c r="V229" s="2339"/>
      <c r="W229" s="2339"/>
      <c r="X229" s="2339"/>
      <c r="Y229" s="2339"/>
      <c r="Z229" s="2339"/>
      <c r="AA229" s="2339"/>
      <c r="AB229" s="2339"/>
      <c r="AC229" s="2339"/>
      <c r="AD229" s="2339"/>
      <c r="AE229" s="2339"/>
      <c r="AF229" s="2339"/>
      <c r="AG229" s="2339"/>
      <c r="AH229" s="2339"/>
      <c r="AI229" s="2339"/>
      <c r="AJ229" s="2339"/>
      <c r="AK229" s="2339"/>
      <c r="AL229" s="2339"/>
      <c r="AM229" s="2339"/>
      <c r="AN229" s="2339"/>
      <c r="AO229" s="2339"/>
      <c r="AP229" s="2339"/>
      <c r="AQ229" s="2339"/>
      <c r="AR229" s="2339"/>
      <c r="AS229" s="2339"/>
      <c r="AT229" s="2339"/>
      <c r="AU229" s="2339"/>
      <c r="AV229" s="2339"/>
      <c r="AW229" s="2339"/>
      <c r="AX229" s="2339"/>
      <c r="AY229" s="2339"/>
      <c r="AZ229" s="2339"/>
      <c r="BA229" s="1208"/>
      <c r="BB229" s="1208"/>
      <c r="BC229" s="1208"/>
      <c r="BD229" s="1215"/>
      <c r="BE229" s="1215"/>
    </row>
    <row r="230" spans="1:57" ht="15.75" customHeight="1">
      <c r="A230" s="1208"/>
      <c r="B230" s="1207"/>
      <c r="C230" s="1208"/>
      <c r="D230" s="1208"/>
      <c r="E230" s="1208"/>
      <c r="F230" s="1208"/>
      <c r="G230" s="1208"/>
      <c r="H230" s="2339"/>
      <c r="I230" s="2339"/>
      <c r="J230" s="2339"/>
      <c r="K230" s="2339"/>
      <c r="L230" s="2339"/>
      <c r="M230" s="2339"/>
      <c r="N230" s="2339"/>
      <c r="O230" s="2339"/>
      <c r="P230" s="2339"/>
      <c r="Q230" s="2339"/>
      <c r="R230" s="2339"/>
      <c r="S230" s="2339"/>
      <c r="T230" s="2339"/>
      <c r="U230" s="2339"/>
      <c r="V230" s="2339"/>
      <c r="W230" s="2339"/>
      <c r="X230" s="2339"/>
      <c r="Y230" s="2339"/>
      <c r="Z230" s="2339"/>
      <c r="AA230" s="2339"/>
      <c r="AB230" s="2339"/>
      <c r="AC230" s="2339"/>
      <c r="AD230" s="2339"/>
      <c r="AE230" s="2339"/>
      <c r="AF230" s="2339"/>
      <c r="AG230" s="2339"/>
      <c r="AH230" s="2339"/>
      <c r="AI230" s="2339"/>
      <c r="AJ230" s="2339"/>
      <c r="AK230" s="2339"/>
      <c r="AL230" s="2339"/>
      <c r="AM230" s="2339"/>
      <c r="AN230" s="2339"/>
      <c r="AO230" s="2339"/>
      <c r="AP230" s="2339"/>
      <c r="AQ230" s="2339"/>
      <c r="AR230" s="2339"/>
      <c r="AS230" s="2339"/>
      <c r="AT230" s="2339"/>
      <c r="AU230" s="2339"/>
      <c r="AV230" s="2339"/>
      <c r="AW230" s="2339"/>
      <c r="AX230" s="2339"/>
      <c r="AY230" s="2339"/>
      <c r="AZ230" s="233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40" t="s">
        <v>2225</v>
      </c>
      <c r="I232" s="2340"/>
      <c r="J232" s="2340"/>
      <c r="K232" s="2340"/>
      <c r="L232" s="2340"/>
      <c r="M232" s="2340"/>
      <c r="N232" s="2340"/>
      <c r="O232" s="2340"/>
      <c r="P232" s="2340"/>
      <c r="Q232" s="2340"/>
      <c r="R232" s="2340"/>
      <c r="S232" s="2340"/>
      <c r="T232" s="2340"/>
      <c r="U232" s="2340"/>
      <c r="V232" s="2340"/>
      <c r="W232" s="2340"/>
      <c r="X232" s="2340"/>
      <c r="Y232" s="2340"/>
      <c r="Z232" s="2340"/>
      <c r="AA232" s="2340"/>
      <c r="AB232" s="2340"/>
      <c r="AC232" s="2340"/>
      <c r="AD232" s="2340"/>
      <c r="AE232" s="2340"/>
      <c r="AF232" s="2340"/>
      <c r="AG232" s="2340"/>
      <c r="AH232" s="2340"/>
      <c r="AI232" s="2340"/>
      <c r="AJ232" s="2340"/>
      <c r="AK232" s="2340"/>
      <c r="AL232" s="2340"/>
      <c r="AM232" s="2340"/>
      <c r="AN232" s="2340"/>
      <c r="AO232" s="2340"/>
      <c r="AP232" s="2340"/>
      <c r="AQ232" s="2340"/>
      <c r="AR232" s="2340"/>
      <c r="AS232" s="2340"/>
      <c r="AT232" s="2340"/>
      <c r="AU232" s="2340"/>
      <c r="AV232" s="234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30" t="s">
        <v>2224</v>
      </c>
      <c r="I234" s="2330"/>
      <c r="J234" s="2330"/>
      <c r="K234" s="2330"/>
      <c r="L234" s="1259"/>
      <c r="M234" s="1259"/>
      <c r="N234" s="1259"/>
      <c r="O234" s="1259"/>
      <c r="P234" s="1259"/>
      <c r="Q234" s="1259"/>
      <c r="R234" s="1259"/>
      <c r="S234" s="2341"/>
      <c r="T234" s="2342"/>
      <c r="U234" s="2342"/>
      <c r="V234" s="2342"/>
      <c r="W234" s="2342"/>
      <c r="X234" s="2342"/>
      <c r="Y234" s="2342"/>
      <c r="Z234" s="2342"/>
      <c r="AA234" s="2342"/>
      <c r="AB234" s="2342"/>
      <c r="AC234" s="2342"/>
      <c r="AD234" s="2342"/>
      <c r="AE234" s="2342"/>
      <c r="AF234" s="2342"/>
      <c r="AG234" s="2342"/>
      <c r="AH234" s="2342"/>
      <c r="AI234" s="2342"/>
      <c r="AJ234" s="234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30" t="s">
        <v>2223</v>
      </c>
      <c r="I236" s="2330"/>
      <c r="J236" s="2330"/>
      <c r="K236" s="1261"/>
      <c r="L236" s="1259"/>
      <c r="M236" s="1259"/>
      <c r="N236" s="1259"/>
      <c r="O236" s="1259"/>
      <c r="P236" s="1259"/>
      <c r="Q236" s="1259"/>
      <c r="R236" s="1259"/>
      <c r="S236" s="2331"/>
      <c r="T236" s="2332"/>
      <c r="U236" s="2332"/>
      <c r="V236" s="2332"/>
      <c r="W236" s="2332"/>
      <c r="X236" s="2332"/>
      <c r="Y236" s="2332"/>
      <c r="Z236" s="2332"/>
      <c r="AA236" s="2332"/>
      <c r="AB236" s="2332"/>
      <c r="AC236" s="2332"/>
      <c r="AD236" s="2332"/>
      <c r="AE236" s="2332"/>
      <c r="AF236" s="2332"/>
      <c r="AG236" s="2332"/>
      <c r="AH236" s="2332"/>
      <c r="AI236" s="2332"/>
      <c r="AJ236" s="233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30" t="s">
        <v>441</v>
      </c>
      <c r="I238" s="2330"/>
      <c r="J238" s="1261"/>
      <c r="K238" s="1261"/>
      <c r="L238" s="1259"/>
      <c r="M238" s="1259"/>
      <c r="N238" s="1259"/>
      <c r="O238" s="1259"/>
      <c r="P238" s="1259"/>
      <c r="Q238" s="1259"/>
      <c r="R238" s="1259"/>
      <c r="S238" s="2331"/>
      <c r="T238" s="2332"/>
      <c r="U238" s="2332"/>
      <c r="V238" s="2332"/>
      <c r="W238" s="2332"/>
      <c r="X238" s="2332"/>
      <c r="Y238" s="2332"/>
      <c r="Z238" s="2332"/>
      <c r="AA238" s="2332"/>
      <c r="AB238" s="2332"/>
      <c r="AC238" s="2332"/>
      <c r="AD238" s="2332"/>
      <c r="AE238" s="2332"/>
      <c r="AF238" s="2332"/>
      <c r="AG238" s="2332"/>
      <c r="AH238" s="2332"/>
      <c r="AI238" s="2332"/>
      <c r="AJ238" s="233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34" t="s">
        <v>2222</v>
      </c>
      <c r="I240" s="2334"/>
      <c r="J240" s="2334"/>
      <c r="K240" s="2334"/>
      <c r="L240" s="2334"/>
      <c r="M240" s="2334"/>
      <c r="N240" s="2334"/>
      <c r="O240" s="2334"/>
      <c r="P240" s="1259"/>
      <c r="Q240" s="1259"/>
      <c r="R240" s="1259"/>
      <c r="S240" s="2331"/>
      <c r="T240" s="2332"/>
      <c r="U240" s="2332"/>
      <c r="V240" s="2332"/>
      <c r="W240" s="2332"/>
      <c r="X240" s="2332"/>
      <c r="Y240" s="2332"/>
      <c r="Z240" s="2332"/>
      <c r="AA240" s="2332"/>
      <c r="AB240" s="2332"/>
      <c r="AC240" s="2332"/>
      <c r="AD240" s="2332"/>
      <c r="AE240" s="2332"/>
      <c r="AF240" s="2332"/>
      <c r="AG240" s="2332"/>
      <c r="AH240" s="2332"/>
      <c r="AI240" s="2332"/>
      <c r="AJ240" s="233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35" t="s">
        <v>2221</v>
      </c>
      <c r="I242" s="2335"/>
      <c r="J242" s="1259"/>
      <c r="K242" s="1259"/>
      <c r="L242" s="1259"/>
      <c r="M242" s="1259"/>
      <c r="N242" s="1259"/>
      <c r="O242" s="1259"/>
      <c r="P242" s="1259"/>
      <c r="Q242" s="1259"/>
      <c r="R242" s="1259"/>
      <c r="S242" s="2336"/>
      <c r="T242" s="2337"/>
      <c r="U242" s="2337"/>
      <c r="V242" s="2337"/>
      <c r="W242" s="2337"/>
      <c r="X242" s="2337"/>
      <c r="Y242" s="2337"/>
      <c r="Z242" s="2337"/>
      <c r="AA242" s="2337"/>
      <c r="AB242" s="2337"/>
      <c r="AC242" s="2337"/>
      <c r="AD242" s="2337"/>
      <c r="AE242" s="2337"/>
      <c r="AF242" s="2337"/>
      <c r="AG242" s="2337"/>
      <c r="AH242" s="2337"/>
      <c r="AI242" s="2337"/>
      <c r="AJ242" s="233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0" zoomScaleNormal="110" workbookViewId="0">
      <selection sqref="A1:AN2"/>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91" t="s">
        <v>1279</v>
      </c>
      <c r="B1" s="2391"/>
      <c r="C1" s="2391"/>
      <c r="D1" s="2391"/>
      <c r="E1" s="2391"/>
      <c r="F1" s="2391"/>
      <c r="G1" s="2391"/>
      <c r="H1" s="2391"/>
      <c r="I1" s="2391"/>
      <c r="J1" s="2391"/>
      <c r="K1" s="2391"/>
      <c r="L1" s="2391"/>
      <c r="M1" s="2391"/>
      <c r="N1" s="2391"/>
      <c r="O1" s="2391"/>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row>
    <row r="2" spans="1:40" ht="12.9" customHeight="1" thickBot="1">
      <c r="A2" s="2392"/>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71" t="str">
        <f xml:space="preserve"> IF(T25=100%,'Sources and Basis Breakdown'!G2,'Sources and Basis Breakdown'!F2)</f>
        <v>30% PVC for New Const/
Rehabilitation
DDA/QCT
Building(s)</v>
      </c>
      <c r="U7" s="2371"/>
      <c r="V7" s="2371"/>
      <c r="W7" s="2371"/>
      <c r="X7" s="2371"/>
      <c r="Y7" s="2371" t="str">
        <f>IF(T25=100%,"",'Sources and Basis Breakdown'!G2)</f>
        <v>30% PVC for New Const/
Rehabilitation
NON-DDA/
NON-QCT Building(s)</v>
      </c>
      <c r="Z7" s="2371"/>
      <c r="AA7" s="2371"/>
      <c r="AB7" s="2371"/>
      <c r="AC7" s="2371"/>
      <c r="AD7" s="2371" t="str">
        <f xml:space="preserve"> IF(T25=100%, 'Sources and Basis Breakdown'!J2,'Sources and Basis Breakdown'!I2)</f>
        <v>30% PVC for Acquisition
DDA/QCT Building(s)</v>
      </c>
      <c r="AE7" s="2371"/>
      <c r="AF7" s="2371"/>
      <c r="AG7" s="2371"/>
      <c r="AH7" s="2371"/>
      <c r="AI7" s="2371" t="str">
        <f>IF(T25=100%,"",'Sources and Basis Breakdown'!J2)</f>
        <v>30% PVC for Acquisition
NON-DDA/
NON-QCT Building(s)</v>
      </c>
      <c r="AJ7" s="2371"/>
      <c r="AK7" s="2371"/>
      <c r="AL7" s="2371"/>
      <c r="AM7" s="2371"/>
    </row>
    <row r="8" spans="1:40" ht="12.9" customHeight="1">
      <c r="B8" s="407"/>
      <c r="T8" s="2371"/>
      <c r="U8" s="2371"/>
      <c r="V8" s="2371"/>
      <c r="W8" s="2371"/>
      <c r="X8" s="2371"/>
      <c r="Y8" s="2371"/>
      <c r="Z8" s="2371"/>
      <c r="AA8" s="2371"/>
      <c r="AB8" s="2371"/>
      <c r="AC8" s="2371"/>
      <c r="AD8" s="2371"/>
      <c r="AE8" s="2371"/>
      <c r="AF8" s="2371"/>
      <c r="AG8" s="2371"/>
      <c r="AH8" s="2371"/>
      <c r="AI8" s="2371"/>
      <c r="AJ8" s="2371"/>
      <c r="AK8" s="2371"/>
      <c r="AL8" s="2371"/>
      <c r="AM8" s="2371"/>
    </row>
    <row r="9" spans="1:40" ht="12.9" customHeight="1">
      <c r="B9" s="407"/>
      <c r="T9" s="2371"/>
      <c r="U9" s="2371"/>
      <c r="V9" s="2371"/>
      <c r="W9" s="2371"/>
      <c r="X9" s="2371"/>
      <c r="Y9" s="2371"/>
      <c r="Z9" s="2371"/>
      <c r="AA9" s="2371"/>
      <c r="AB9" s="2371"/>
      <c r="AC9" s="2371"/>
      <c r="AD9" s="2371"/>
      <c r="AE9" s="2371"/>
      <c r="AF9" s="2371"/>
      <c r="AG9" s="2371"/>
      <c r="AH9" s="2371"/>
      <c r="AI9" s="2371"/>
      <c r="AJ9" s="2371"/>
      <c r="AK9" s="2371"/>
      <c r="AL9" s="2371"/>
      <c r="AM9" s="2371"/>
    </row>
    <row r="10" spans="1:40" ht="12.9" customHeight="1">
      <c r="B10" s="408"/>
      <c r="C10" s="409"/>
      <c r="D10" s="409"/>
      <c r="E10" s="409"/>
      <c r="F10" s="409"/>
      <c r="G10" s="409"/>
      <c r="H10" s="409"/>
      <c r="I10" s="409"/>
      <c r="J10" s="409"/>
      <c r="K10" s="409"/>
      <c r="L10" s="409"/>
      <c r="M10" s="409"/>
      <c r="N10" s="409"/>
      <c r="O10" s="409"/>
      <c r="P10" s="409"/>
      <c r="Q10" s="409"/>
      <c r="R10" s="409"/>
      <c r="S10" s="409"/>
      <c r="T10" s="2371"/>
      <c r="U10" s="2371"/>
      <c r="V10" s="2371"/>
      <c r="W10" s="2371"/>
      <c r="X10" s="2371"/>
      <c r="Y10" s="2371"/>
      <c r="Z10" s="2371"/>
      <c r="AA10" s="2371"/>
      <c r="AB10" s="2371"/>
      <c r="AC10" s="2371"/>
      <c r="AD10" s="2371"/>
      <c r="AE10" s="2371"/>
      <c r="AF10" s="2371"/>
      <c r="AG10" s="2371"/>
      <c r="AH10" s="2371"/>
      <c r="AI10" s="2371"/>
      <c r="AJ10" s="2371"/>
      <c r="AK10" s="2371"/>
      <c r="AL10" s="2371"/>
      <c r="AM10" s="2371"/>
    </row>
    <row r="11" spans="1:40" ht="12.9" customHeight="1">
      <c r="B11" s="2357" t="s">
        <v>375</v>
      </c>
      <c r="C11" s="2358"/>
      <c r="D11" s="2358"/>
      <c r="E11" s="2358"/>
      <c r="F11" s="2358"/>
      <c r="G11" s="2358"/>
      <c r="H11" s="2358"/>
      <c r="I11" s="2358"/>
      <c r="J11" s="2358"/>
      <c r="K11" s="2358"/>
      <c r="L11" s="2358"/>
      <c r="M11" s="2358"/>
      <c r="N11" s="2358"/>
      <c r="O11" s="2358"/>
      <c r="P11" s="2358"/>
      <c r="Q11" s="2358"/>
      <c r="R11" s="2358"/>
      <c r="S11" s="2359"/>
      <c r="T11" s="2393">
        <f>IF('Sources and Basis Breakdown'!F107=0,'Sources and Basis Breakdown'!E107,'Sources and Basis Breakdown'!F107)</f>
        <v>55337736</v>
      </c>
      <c r="U11" s="2394"/>
      <c r="V11" s="2394"/>
      <c r="W11" s="2394"/>
      <c r="X11" s="2394"/>
      <c r="Y11" s="2393">
        <f>IF(Y7="",0,IF('Sources and Basis Breakdown'!G107+'Sources and Basis Breakdown'!F107='Sources and Basis Breakdown'!E107,'Sources and Basis Breakdown'!G107,0))</f>
        <v>0</v>
      </c>
      <c r="Z11" s="2394"/>
      <c r="AA11" s="2394"/>
      <c r="AB11" s="2394"/>
      <c r="AC11" s="2394"/>
      <c r="AD11" s="2394">
        <f>IF('Sources and Basis Breakdown'!I107=0,'Sources and Basis Breakdown'!H107,'Sources and Basis Breakdown'!I107)</f>
        <v>0</v>
      </c>
      <c r="AE11" s="2394"/>
      <c r="AF11" s="2394"/>
      <c r="AG11" s="2394"/>
      <c r="AH11" s="2394"/>
      <c r="AI11" s="2394">
        <f>IF(Y7="",0,IF('Sources and Basis Breakdown'!I107+'Sources and Basis Breakdown'!J107='Sources and Basis Breakdown'!H107,'Sources and Basis Breakdown'!J107,0))</f>
        <v>0</v>
      </c>
      <c r="AJ11" s="2394"/>
      <c r="AK11" s="2394"/>
      <c r="AL11" s="2394"/>
      <c r="AM11" s="2394"/>
    </row>
    <row r="12" spans="1:40" ht="12.9" customHeight="1">
      <c r="B12" s="2395" t="s">
        <v>497</v>
      </c>
      <c r="C12" s="1307"/>
      <c r="D12" s="1307"/>
      <c r="E12" s="1307"/>
      <c r="F12" s="1307"/>
      <c r="G12" s="1307"/>
      <c r="H12" s="1307"/>
      <c r="I12" s="1307"/>
      <c r="J12" s="1307"/>
      <c r="K12" s="1307"/>
      <c r="L12" s="1307"/>
      <c r="M12" s="1307"/>
      <c r="N12" s="1307"/>
      <c r="O12" s="1307"/>
      <c r="P12" s="1307"/>
      <c r="Q12" s="1307"/>
      <c r="R12" s="1307"/>
      <c r="S12" s="2396"/>
      <c r="T12" s="2386"/>
      <c r="U12" s="2387"/>
      <c r="V12" s="2387"/>
      <c r="W12" s="2387"/>
      <c r="X12" s="2388"/>
      <c r="Y12" s="2386"/>
      <c r="Z12" s="2387"/>
      <c r="AA12" s="2387"/>
      <c r="AB12" s="2387"/>
      <c r="AC12" s="2388"/>
      <c r="AD12" s="2386"/>
      <c r="AE12" s="2387"/>
      <c r="AF12" s="2387"/>
      <c r="AG12" s="2387"/>
      <c r="AH12" s="2388"/>
      <c r="AI12" s="2386"/>
      <c r="AJ12" s="2387"/>
      <c r="AK12" s="2387"/>
      <c r="AL12" s="2387"/>
      <c r="AM12" s="2388"/>
    </row>
    <row r="13" spans="1:40" ht="12.9" customHeight="1">
      <c r="B13" s="435"/>
      <c r="C13" s="2397" t="s">
        <v>498</v>
      </c>
      <c r="D13" s="2397"/>
      <c r="E13" s="2397"/>
      <c r="F13" s="2397"/>
      <c r="G13" s="2397"/>
      <c r="H13" s="2397"/>
      <c r="I13" s="2397"/>
      <c r="J13" s="2397"/>
      <c r="K13" s="2397"/>
      <c r="L13" s="2397"/>
      <c r="M13" s="2397"/>
      <c r="N13" s="2397"/>
      <c r="O13" s="2397"/>
      <c r="P13" s="2397"/>
      <c r="Q13" s="2397"/>
      <c r="R13" s="2397"/>
      <c r="S13" s="2398"/>
      <c r="T13" s="2389"/>
      <c r="U13" s="2390"/>
      <c r="V13" s="2390"/>
      <c r="W13" s="2390"/>
      <c r="X13" s="2390"/>
      <c r="Y13" s="2389"/>
      <c r="Z13" s="2390"/>
      <c r="AA13" s="2390"/>
      <c r="AB13" s="2390"/>
      <c r="AC13" s="2390"/>
      <c r="AD13" s="2390"/>
      <c r="AE13" s="2390"/>
      <c r="AF13" s="2390"/>
      <c r="AG13" s="2390"/>
      <c r="AH13" s="2390"/>
      <c r="AI13" s="2390"/>
      <c r="AJ13" s="2390"/>
      <c r="AK13" s="2390"/>
      <c r="AL13" s="2390"/>
      <c r="AM13" s="2390"/>
    </row>
    <row r="14" spans="1:40" ht="12.9" customHeight="1">
      <c r="B14" s="435"/>
      <c r="C14" s="2397" t="s">
        <v>499</v>
      </c>
      <c r="D14" s="2397"/>
      <c r="E14" s="2397"/>
      <c r="F14" s="2397"/>
      <c r="G14" s="2397"/>
      <c r="H14" s="2397"/>
      <c r="I14" s="2397"/>
      <c r="J14" s="2397"/>
      <c r="K14" s="2397"/>
      <c r="L14" s="2397"/>
      <c r="M14" s="2397"/>
      <c r="N14" s="2397"/>
      <c r="O14" s="2397"/>
      <c r="P14" s="2397"/>
      <c r="Q14" s="2397"/>
      <c r="R14" s="2397"/>
      <c r="S14" s="2398"/>
      <c r="T14" s="2379"/>
      <c r="U14" s="2380"/>
      <c r="V14" s="2380"/>
      <c r="W14" s="2380"/>
      <c r="X14" s="2380"/>
      <c r="Y14" s="2379"/>
      <c r="Z14" s="2380"/>
      <c r="AA14" s="2380"/>
      <c r="AB14" s="2380"/>
      <c r="AC14" s="2380"/>
      <c r="AD14" s="2380"/>
      <c r="AE14" s="2380"/>
      <c r="AF14" s="2380"/>
      <c r="AG14" s="2380"/>
      <c r="AH14" s="2380"/>
      <c r="AI14" s="2380"/>
      <c r="AJ14" s="2380"/>
      <c r="AK14" s="2380"/>
      <c r="AL14" s="2380"/>
      <c r="AM14" s="2380"/>
    </row>
    <row r="15" spans="1:40" ht="12.9" customHeight="1">
      <c r="B15" s="435"/>
      <c r="C15" s="2397" t="s">
        <v>500</v>
      </c>
      <c r="D15" s="2397"/>
      <c r="E15" s="2397"/>
      <c r="F15" s="2397"/>
      <c r="G15" s="2397"/>
      <c r="H15" s="2397"/>
      <c r="I15" s="2397"/>
      <c r="J15" s="2397"/>
      <c r="K15" s="2397"/>
      <c r="L15" s="2397"/>
      <c r="M15" s="2397"/>
      <c r="N15" s="2397"/>
      <c r="O15" s="2397"/>
      <c r="P15" s="2397"/>
      <c r="Q15" s="2397"/>
      <c r="R15" s="2397"/>
      <c r="S15" s="2398"/>
      <c r="T15" s="2379"/>
      <c r="U15" s="2380"/>
      <c r="V15" s="2380"/>
      <c r="W15" s="2380"/>
      <c r="X15" s="2380"/>
      <c r="Y15" s="2379"/>
      <c r="Z15" s="2380"/>
      <c r="AA15" s="2380"/>
      <c r="AB15" s="2380"/>
      <c r="AC15" s="2380"/>
      <c r="AD15" s="2380"/>
      <c r="AE15" s="2380"/>
      <c r="AF15" s="2380"/>
      <c r="AG15" s="2380"/>
      <c r="AH15" s="2380"/>
      <c r="AI15" s="2380"/>
      <c r="AJ15" s="2380"/>
      <c r="AK15" s="2380"/>
      <c r="AL15" s="2380"/>
      <c r="AM15" s="2380"/>
    </row>
    <row r="16" spans="1:40" ht="12.9" customHeight="1">
      <c r="B16" s="435"/>
      <c r="C16" s="2397" t="s">
        <v>805</v>
      </c>
      <c r="D16" s="2397"/>
      <c r="E16" s="2397"/>
      <c r="F16" s="2397"/>
      <c r="G16" s="2397"/>
      <c r="H16" s="2397"/>
      <c r="I16" s="2397"/>
      <c r="J16" s="2397"/>
      <c r="K16" s="2397"/>
      <c r="L16" s="2397"/>
      <c r="M16" s="2397"/>
      <c r="N16" s="2397"/>
      <c r="O16" s="2397"/>
      <c r="P16" s="2397"/>
      <c r="Q16" s="2397"/>
      <c r="R16" s="2397"/>
      <c r="S16" s="2398"/>
      <c r="T16" s="2379"/>
      <c r="U16" s="2380"/>
      <c r="V16" s="2380"/>
      <c r="W16" s="2380"/>
      <c r="X16" s="2380"/>
      <c r="Y16" s="2379"/>
      <c r="Z16" s="2380"/>
      <c r="AA16" s="2380"/>
      <c r="AB16" s="2380"/>
      <c r="AC16" s="2380"/>
      <c r="AD16" s="2380"/>
      <c r="AE16" s="2380"/>
      <c r="AF16" s="2380"/>
      <c r="AG16" s="2380"/>
      <c r="AH16" s="2380"/>
      <c r="AI16" s="2380"/>
      <c r="AJ16" s="2380"/>
      <c r="AK16" s="2380"/>
      <c r="AL16" s="2380"/>
      <c r="AM16" s="2380"/>
    </row>
    <row r="17" spans="1:40" ht="12.9" customHeight="1">
      <c r="B17" s="435"/>
      <c r="C17" s="2397" t="s">
        <v>501</v>
      </c>
      <c r="D17" s="2397"/>
      <c r="E17" s="2397"/>
      <c r="F17" s="2397"/>
      <c r="G17" s="2397"/>
      <c r="H17" s="2397"/>
      <c r="I17" s="2397"/>
      <c r="J17" s="2397"/>
      <c r="K17" s="2397"/>
      <c r="L17" s="2397"/>
      <c r="M17" s="2397"/>
      <c r="N17" s="2397"/>
      <c r="O17" s="2397"/>
      <c r="P17" s="2397"/>
      <c r="Q17" s="2397"/>
      <c r="R17" s="2397"/>
      <c r="S17" s="2398"/>
      <c r="T17" s="2379"/>
      <c r="U17" s="2380"/>
      <c r="V17" s="2380"/>
      <c r="W17" s="2380"/>
      <c r="X17" s="2380"/>
      <c r="Y17" s="2379"/>
      <c r="Z17" s="2380"/>
      <c r="AA17" s="2380"/>
      <c r="AB17" s="2380"/>
      <c r="AC17" s="2380"/>
      <c r="AD17" s="2380"/>
      <c r="AE17" s="2380"/>
      <c r="AF17" s="2380"/>
      <c r="AG17" s="2380"/>
      <c r="AH17" s="2380"/>
      <c r="AI17" s="2380"/>
      <c r="AJ17" s="2380"/>
      <c r="AK17" s="2380"/>
      <c r="AL17" s="2380"/>
      <c r="AM17" s="2380"/>
    </row>
    <row r="18" spans="1:40" ht="12.9" customHeight="1">
      <c r="A18"/>
      <c r="B18" s="1144"/>
      <c r="C18" s="1583" t="s">
        <v>959</v>
      </c>
      <c r="D18" s="1583"/>
      <c r="E18" s="1583"/>
      <c r="F18" s="1583"/>
      <c r="G18" s="1583"/>
      <c r="H18" s="1583"/>
      <c r="I18" s="1583"/>
      <c r="J18" s="1583"/>
      <c r="K18" s="1583"/>
      <c r="L18" s="1583"/>
      <c r="M18" s="1583"/>
      <c r="N18" s="1583"/>
      <c r="O18" s="1583"/>
      <c r="P18" s="1583"/>
      <c r="Q18" s="1583"/>
      <c r="R18" s="1583"/>
      <c r="S18" s="1584"/>
      <c r="T18" s="2379"/>
      <c r="U18" s="2380"/>
      <c r="V18" s="2380"/>
      <c r="W18" s="2380"/>
      <c r="X18" s="2380"/>
      <c r="Y18" s="2379"/>
      <c r="Z18" s="2380"/>
      <c r="AA18" s="2380"/>
      <c r="AB18" s="2380"/>
      <c r="AC18" s="2380"/>
      <c r="AD18" s="2380"/>
      <c r="AE18" s="2380"/>
      <c r="AF18" s="2380"/>
      <c r="AG18" s="2380"/>
      <c r="AH18" s="2380"/>
      <c r="AI18" s="2380"/>
      <c r="AJ18" s="2380"/>
      <c r="AK18" s="2380"/>
      <c r="AL18" s="2380"/>
      <c r="AM18" s="2380"/>
    </row>
    <row r="19" spans="1:40" ht="12.9" customHeight="1">
      <c r="B19" s="1144"/>
      <c r="C19" s="1583" t="s">
        <v>959</v>
      </c>
      <c r="D19" s="1583"/>
      <c r="E19" s="1583"/>
      <c r="F19" s="1583"/>
      <c r="G19" s="1583"/>
      <c r="H19" s="1583"/>
      <c r="I19" s="1583"/>
      <c r="J19" s="1583"/>
      <c r="K19" s="1583"/>
      <c r="L19" s="1583"/>
      <c r="M19" s="1583"/>
      <c r="N19" s="1583"/>
      <c r="O19" s="1583"/>
      <c r="P19" s="1583"/>
      <c r="Q19" s="1583"/>
      <c r="R19" s="1583"/>
      <c r="S19" s="1584"/>
      <c r="T19" s="2379"/>
      <c r="U19" s="2380"/>
      <c r="V19" s="2380"/>
      <c r="W19" s="2380"/>
      <c r="X19" s="2380"/>
      <c r="Y19" s="2379"/>
      <c r="Z19" s="2380"/>
      <c r="AA19" s="2380"/>
      <c r="AB19" s="2380"/>
      <c r="AC19" s="2380"/>
      <c r="AD19" s="2380"/>
      <c r="AE19" s="2380"/>
      <c r="AF19" s="2380"/>
      <c r="AG19" s="2380"/>
      <c r="AH19" s="2380"/>
      <c r="AI19" s="2380"/>
      <c r="AJ19" s="2380"/>
      <c r="AK19" s="2380"/>
      <c r="AL19" s="2380"/>
      <c r="AM19" s="2380"/>
    </row>
    <row r="20" spans="1:40" ht="12.9" customHeight="1">
      <c r="B20" s="2357" t="s">
        <v>502</v>
      </c>
      <c r="C20" s="2358"/>
      <c r="D20" s="2358"/>
      <c r="E20" s="2358"/>
      <c r="F20" s="2358"/>
      <c r="G20" s="2358"/>
      <c r="H20" s="2358"/>
      <c r="I20" s="2358"/>
      <c r="J20" s="2358"/>
      <c r="K20" s="2358"/>
      <c r="L20" s="2358"/>
      <c r="M20" s="2358"/>
      <c r="N20" s="2358"/>
      <c r="O20" s="2358"/>
      <c r="P20" s="2358"/>
      <c r="Q20" s="2358"/>
      <c r="R20" s="2358"/>
      <c r="S20" s="2359"/>
      <c r="T20" s="2370">
        <f>SUM(T13:X19)</f>
        <v>0</v>
      </c>
      <c r="U20" s="2351"/>
      <c r="V20" s="2351"/>
      <c r="W20" s="2351"/>
      <c r="X20" s="2351"/>
      <c r="Y20" s="2370">
        <f>SUM(Y13:AC19)</f>
        <v>0</v>
      </c>
      <c r="Z20" s="2351"/>
      <c r="AA20" s="2351"/>
      <c r="AB20" s="2351"/>
      <c r="AC20" s="2351"/>
      <c r="AD20" s="2361">
        <f>SUM(AD13:AH19)</f>
        <v>0</v>
      </c>
      <c r="AE20" s="2369"/>
      <c r="AF20" s="2369"/>
      <c r="AG20" s="2369"/>
      <c r="AH20" s="2370"/>
      <c r="AI20" s="2361">
        <f>SUM(AI13:AM19)</f>
        <v>0</v>
      </c>
      <c r="AJ20" s="2369"/>
      <c r="AK20" s="2369"/>
      <c r="AL20" s="2369"/>
      <c r="AM20" s="2370"/>
    </row>
    <row r="21" spans="1:40" ht="12.9" customHeight="1">
      <c r="B21" s="2357" t="s">
        <v>1262</v>
      </c>
      <c r="C21" s="2358"/>
      <c r="D21" s="2358"/>
      <c r="E21" s="2358"/>
      <c r="F21" s="2358"/>
      <c r="G21" s="2358"/>
      <c r="H21" s="2358"/>
      <c r="I21" s="2358"/>
      <c r="J21" s="2358"/>
      <c r="K21" s="2358"/>
      <c r="L21" s="2358"/>
      <c r="M21" s="2358"/>
      <c r="N21" s="2358"/>
      <c r="O21" s="2358"/>
      <c r="P21" s="2358"/>
      <c r="Q21" s="2358"/>
      <c r="R21" s="2358"/>
      <c r="S21" s="2359"/>
      <c r="T21" s="2379"/>
      <c r="U21" s="2380"/>
      <c r="V21" s="2380"/>
      <c r="W21" s="2380"/>
      <c r="X21" s="2380"/>
      <c r="Y21" s="2379"/>
      <c r="Z21" s="2380"/>
      <c r="AA21" s="2380"/>
      <c r="AB21" s="2380"/>
      <c r="AC21" s="2380"/>
      <c r="AD21" s="2386"/>
      <c r="AE21" s="2387"/>
      <c r="AF21" s="2387"/>
      <c r="AG21" s="2387"/>
      <c r="AH21" s="2388"/>
      <c r="AI21" s="2386"/>
      <c r="AJ21" s="2387"/>
      <c r="AK21" s="2387"/>
      <c r="AL21" s="2387"/>
      <c r="AM21" s="2388"/>
    </row>
    <row r="22" spans="1:40" ht="12.9" customHeight="1">
      <c r="B22" s="2357" t="s">
        <v>503</v>
      </c>
      <c r="C22" s="2358"/>
      <c r="D22" s="2358"/>
      <c r="E22" s="2358"/>
      <c r="F22" s="2358"/>
      <c r="G22" s="2358"/>
      <c r="H22" s="2358"/>
      <c r="I22" s="2358"/>
      <c r="J22" s="2358"/>
      <c r="K22" s="2358"/>
      <c r="L22" s="2358"/>
      <c r="M22" s="2358"/>
      <c r="N22" s="2358"/>
      <c r="O22" s="2358"/>
      <c r="P22" s="2358"/>
      <c r="Q22" s="2358"/>
      <c r="R22" s="2358"/>
      <c r="S22" s="2359"/>
      <c r="T22" s="2375">
        <f>(ABS(T20)+ABS(T21))*-1</f>
        <v>0</v>
      </c>
      <c r="U22" s="2376"/>
      <c r="V22" s="2376"/>
      <c r="W22" s="2376"/>
      <c r="X22" s="2376"/>
      <c r="Y22" s="2375">
        <f>(Y20+Y21)*-1</f>
        <v>0</v>
      </c>
      <c r="Z22" s="2376"/>
      <c r="AA22" s="2376"/>
      <c r="AB22" s="2376"/>
      <c r="AC22" s="2376"/>
      <c r="AD22" s="2377">
        <f>(AD20)*-1</f>
        <v>0</v>
      </c>
      <c r="AE22" s="2378"/>
      <c r="AF22" s="2378"/>
      <c r="AG22" s="2378"/>
      <c r="AH22" s="2375"/>
      <c r="AI22" s="2377">
        <f>(AI20)*-1</f>
        <v>0</v>
      </c>
      <c r="AJ22" s="2378"/>
      <c r="AK22" s="2378"/>
      <c r="AL22" s="2378"/>
      <c r="AM22" s="2375"/>
    </row>
    <row r="23" spans="1:40" ht="12.9" customHeight="1">
      <c r="B23" s="2357" t="s">
        <v>504</v>
      </c>
      <c r="C23" s="2358"/>
      <c r="D23" s="2358"/>
      <c r="E23" s="2358"/>
      <c r="F23" s="2358"/>
      <c r="G23" s="2358"/>
      <c r="H23" s="2358"/>
      <c r="I23" s="2358"/>
      <c r="J23" s="2358"/>
      <c r="K23" s="2358"/>
      <c r="L23" s="2358"/>
      <c r="M23" s="2358"/>
      <c r="N23" s="2358"/>
      <c r="O23" s="2358"/>
      <c r="P23" s="2358"/>
      <c r="Q23" s="2358"/>
      <c r="R23" s="2358"/>
      <c r="S23" s="2359"/>
      <c r="T23" s="2370">
        <f>T11+T22</f>
        <v>55337736</v>
      </c>
      <c r="U23" s="2351"/>
      <c r="V23" s="2351"/>
      <c r="W23" s="2351"/>
      <c r="X23" s="2351"/>
      <c r="Y23" s="2370">
        <f>Y11+Y22</f>
        <v>0</v>
      </c>
      <c r="Z23" s="2351"/>
      <c r="AA23" s="2351"/>
      <c r="AB23" s="2351"/>
      <c r="AC23" s="2351"/>
      <c r="AD23" s="2370">
        <f>AD11+AD22</f>
        <v>0</v>
      </c>
      <c r="AE23" s="2351"/>
      <c r="AF23" s="2351"/>
      <c r="AG23" s="2351"/>
      <c r="AH23" s="2351"/>
      <c r="AI23" s="2370">
        <f>AI11+AI22</f>
        <v>0</v>
      </c>
      <c r="AJ23" s="2351"/>
      <c r="AK23" s="2351"/>
      <c r="AL23" s="2351"/>
      <c r="AM23" s="2351"/>
    </row>
    <row r="24" spans="1:40" ht="12.9" customHeight="1">
      <c r="B24" s="2357" t="s">
        <v>960</v>
      </c>
      <c r="C24" s="2358"/>
      <c r="D24" s="2358"/>
      <c r="E24" s="2358"/>
      <c r="F24" s="2358"/>
      <c r="G24" s="2358"/>
      <c r="H24" s="2358"/>
      <c r="I24" s="2358"/>
      <c r="J24" s="2358"/>
      <c r="K24" s="2358"/>
      <c r="L24" s="2358"/>
      <c r="M24" s="2358"/>
      <c r="N24" s="2358"/>
      <c r="O24" s="2358"/>
      <c r="P24" s="2358"/>
      <c r="Q24" s="2358"/>
      <c r="R24" s="2358"/>
      <c r="S24" s="2359"/>
      <c r="T24" s="2361">
        <f>Application!AJ1062</f>
        <v>134197236.28</v>
      </c>
      <c r="U24" s="2369"/>
      <c r="V24" s="2369"/>
      <c r="W24" s="2369"/>
      <c r="X24" s="2369"/>
      <c r="Y24" s="2369"/>
      <c r="Z24" s="2369"/>
      <c r="AA24" s="2369"/>
      <c r="AB24" s="2369"/>
      <c r="AC24" s="2369"/>
      <c r="AD24" s="2369"/>
      <c r="AE24" s="2369"/>
      <c r="AF24" s="2369"/>
      <c r="AG24" s="2369"/>
      <c r="AH24" s="2369"/>
      <c r="AI24" s="2369"/>
      <c r="AJ24" s="2369"/>
      <c r="AK24" s="2369"/>
      <c r="AL24" s="2369"/>
      <c r="AM24" s="2370"/>
    </row>
    <row r="25" spans="1:40" ht="12.9" customHeight="1">
      <c r="B25" s="2401" t="s">
        <v>1263</v>
      </c>
      <c r="C25" s="2402"/>
      <c r="D25" s="2402"/>
      <c r="E25" s="2402"/>
      <c r="F25" s="2402"/>
      <c r="G25" s="2402"/>
      <c r="H25" s="2402"/>
      <c r="I25" s="2402"/>
      <c r="J25" s="2402"/>
      <c r="K25" s="2402"/>
      <c r="L25" s="2402"/>
      <c r="M25" s="2402"/>
      <c r="N25" s="2402"/>
      <c r="O25" s="2402"/>
      <c r="P25" s="2402"/>
      <c r="Q25" s="2402"/>
      <c r="R25" s="2402"/>
      <c r="S25" s="2403"/>
      <c r="T25" s="2383">
        <f>IF(OR(Application!T196="yes",Application!T195="yes"),1.3,1)</f>
        <v>1.3</v>
      </c>
      <c r="U25" s="2384"/>
      <c r="V25" s="2384"/>
      <c r="W25" s="2384"/>
      <c r="X25" s="2384"/>
      <c r="Y25" s="2383">
        <v>1</v>
      </c>
      <c r="Z25" s="2384"/>
      <c r="AA25" s="2384"/>
      <c r="AB25" s="2384"/>
      <c r="AC25" s="2384"/>
      <c r="AD25" s="2383">
        <v>1</v>
      </c>
      <c r="AE25" s="2384"/>
      <c r="AF25" s="2384"/>
      <c r="AG25" s="2384"/>
      <c r="AH25" s="2385"/>
      <c r="AI25" s="2383">
        <v>1</v>
      </c>
      <c r="AJ25" s="2384"/>
      <c r="AK25" s="2384"/>
      <c r="AL25" s="2384"/>
      <c r="AM25" s="2385"/>
    </row>
    <row r="26" spans="1:40" ht="12.9" customHeight="1">
      <c r="B26" s="2357" t="s">
        <v>505</v>
      </c>
      <c r="C26" s="2358"/>
      <c r="D26" s="2358"/>
      <c r="E26" s="2358"/>
      <c r="F26" s="2358"/>
      <c r="G26" s="2358"/>
      <c r="H26" s="2358"/>
      <c r="I26" s="2358"/>
      <c r="J26" s="2358"/>
      <c r="K26" s="2358"/>
      <c r="L26" s="2358"/>
      <c r="M26" s="2358"/>
      <c r="N26" s="2358"/>
      <c r="O26" s="2358"/>
      <c r="P26" s="2358"/>
      <c r="Q26" s="2358"/>
      <c r="R26" s="2358"/>
      <c r="S26" s="2359"/>
      <c r="T26" s="2370">
        <f>T23*T25</f>
        <v>71939056.799999997</v>
      </c>
      <c r="U26" s="2351"/>
      <c r="V26" s="2351"/>
      <c r="W26" s="2351"/>
      <c r="X26" s="2351"/>
      <c r="Y26" s="2370">
        <f>Y23*Y25</f>
        <v>0</v>
      </c>
      <c r="Z26" s="2351"/>
      <c r="AA26" s="2351"/>
      <c r="AB26" s="2351"/>
      <c r="AC26" s="2351"/>
      <c r="AD26" s="2370">
        <f>AD23*AD25</f>
        <v>0</v>
      </c>
      <c r="AE26" s="2351"/>
      <c r="AF26" s="2351"/>
      <c r="AG26" s="2351"/>
      <c r="AH26" s="2351"/>
      <c r="AI26" s="2370">
        <f>AI23*AI25</f>
        <v>0</v>
      </c>
      <c r="AJ26" s="2351"/>
      <c r="AK26" s="2351"/>
      <c r="AL26" s="2351"/>
      <c r="AM26" s="2351"/>
    </row>
    <row r="27" spans="1:40" ht="12.9" customHeight="1">
      <c r="A27" s="410"/>
      <c r="B27" s="2404" t="s">
        <v>426</v>
      </c>
      <c r="C27" s="2405"/>
      <c r="D27" s="2405"/>
      <c r="E27" s="2405"/>
      <c r="F27" s="2405"/>
      <c r="G27" s="2405"/>
      <c r="H27" s="2405"/>
      <c r="I27" s="2405"/>
      <c r="J27" s="2405"/>
      <c r="K27" s="2405"/>
      <c r="L27" s="2405"/>
      <c r="M27" s="2405"/>
      <c r="N27" s="2405"/>
      <c r="O27" s="2405"/>
      <c r="P27" s="2405"/>
      <c r="Q27" s="2405"/>
      <c r="R27" s="2405"/>
      <c r="S27" s="2406"/>
      <c r="T27" s="2381">
        <f>Application!$AG$454</f>
        <v>1</v>
      </c>
      <c r="U27" s="2382"/>
      <c r="V27" s="2382"/>
      <c r="W27" s="2382"/>
      <c r="X27" s="2382"/>
      <c r="Y27" s="2381">
        <f>Application!$AG$454</f>
        <v>1</v>
      </c>
      <c r="Z27" s="2382"/>
      <c r="AA27" s="2382"/>
      <c r="AB27" s="2382"/>
      <c r="AC27" s="2382"/>
      <c r="AD27" s="2381">
        <f>Application!$AG$454</f>
        <v>1</v>
      </c>
      <c r="AE27" s="2382"/>
      <c r="AF27" s="2382"/>
      <c r="AG27" s="2382"/>
      <c r="AH27" s="2382"/>
      <c r="AI27" s="2381">
        <f>Application!$AG$454</f>
        <v>1</v>
      </c>
      <c r="AJ27" s="2382"/>
      <c r="AK27" s="2382"/>
      <c r="AL27" s="2382"/>
      <c r="AM27" s="2382"/>
    </row>
    <row r="28" spans="1:40" ht="12.9" customHeight="1">
      <c r="A28" s="404"/>
      <c r="B28" s="2357" t="s">
        <v>506</v>
      </c>
      <c r="C28" s="2358"/>
      <c r="D28" s="2358"/>
      <c r="E28" s="2358"/>
      <c r="F28" s="2358"/>
      <c r="G28" s="2358"/>
      <c r="H28" s="2358"/>
      <c r="I28" s="2358"/>
      <c r="J28" s="2358"/>
      <c r="K28" s="2358"/>
      <c r="L28" s="2358"/>
      <c r="M28" s="2358"/>
      <c r="N28" s="2358"/>
      <c r="O28" s="2358"/>
      <c r="P28" s="2358"/>
      <c r="Q28" s="2358"/>
      <c r="R28" s="2358"/>
      <c r="S28" s="2359"/>
      <c r="T28" s="2370">
        <f>IF(ISERROR((T26*T27)),0,(T26*T27))</f>
        <v>71939056.799999997</v>
      </c>
      <c r="U28" s="2351"/>
      <c r="V28" s="2351"/>
      <c r="W28" s="2351"/>
      <c r="X28" s="2351"/>
      <c r="Y28" s="2370">
        <f>IF(ISERROR((Y26*Y27)),0,(Y26*Y27))</f>
        <v>0</v>
      </c>
      <c r="Z28" s="2351"/>
      <c r="AA28" s="2351"/>
      <c r="AB28" s="2351"/>
      <c r="AC28" s="2351"/>
      <c r="AD28" s="2370">
        <f>IF(ISERROR((AD26*AD27)),0,(AD26*AD27))</f>
        <v>0</v>
      </c>
      <c r="AE28" s="2351"/>
      <c r="AF28" s="2351"/>
      <c r="AG28" s="2351"/>
      <c r="AH28" s="2351"/>
      <c r="AI28" s="2370">
        <f>IF(ISERROR((AI26*AI27)),0,(AI26*AI27))</f>
        <v>0</v>
      </c>
      <c r="AJ28" s="2351"/>
      <c r="AK28" s="2351"/>
      <c r="AL28" s="2351"/>
      <c r="AM28" s="2351"/>
    </row>
    <row r="29" spans="1:40" ht="12.9" customHeight="1">
      <c r="B29" s="2357" t="s">
        <v>523</v>
      </c>
      <c r="C29" s="2358"/>
      <c r="D29" s="2358"/>
      <c r="E29" s="2358"/>
      <c r="F29" s="2358"/>
      <c r="G29" s="2358"/>
      <c r="H29" s="2358"/>
      <c r="I29" s="2358"/>
      <c r="J29" s="2358"/>
      <c r="K29" s="2358"/>
      <c r="L29" s="2358"/>
      <c r="M29" s="2358"/>
      <c r="N29" s="2358"/>
      <c r="O29" s="2358"/>
      <c r="P29" s="2358"/>
      <c r="Q29" s="2358"/>
      <c r="R29" s="2358"/>
      <c r="S29" s="2359"/>
      <c r="T29" s="2361">
        <f>T28+Y28+AD28+AI28</f>
        <v>71939056.799999997</v>
      </c>
      <c r="U29" s="2369"/>
      <c r="V29" s="2369"/>
      <c r="W29" s="2369"/>
      <c r="X29" s="2369"/>
      <c r="Y29" s="2369"/>
      <c r="Z29" s="2369"/>
      <c r="AA29" s="2369"/>
      <c r="AB29" s="2369"/>
      <c r="AC29" s="2369"/>
      <c r="AD29" s="2369"/>
      <c r="AE29" s="2369"/>
      <c r="AF29" s="2369"/>
      <c r="AG29" s="2369"/>
      <c r="AH29" s="2369"/>
      <c r="AI29" s="2369"/>
      <c r="AJ29" s="2369"/>
      <c r="AK29" s="2369"/>
      <c r="AL29" s="2369"/>
      <c r="AM29" s="2370"/>
    </row>
    <row r="30" spans="1:40" ht="12.9" customHeight="1">
      <c r="B30" s="2374" t="s">
        <v>1265</v>
      </c>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row>
    <row r="31" spans="1:40" ht="12.9" customHeight="1">
      <c r="B31" s="2374" t="s">
        <v>1264</v>
      </c>
      <c r="C31" s="2374"/>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c r="AK31" s="2374"/>
      <c r="AL31" s="2374"/>
      <c r="AM31" s="2374"/>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576</v>
      </c>
      <c r="C34" s="404" t="s">
        <v>568</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71" t="s">
        <v>1153</v>
      </c>
      <c r="Z35" s="2371"/>
      <c r="AA35" s="2371"/>
      <c r="AB35" s="2371"/>
      <c r="AC35" s="2371"/>
      <c r="AD35" s="2372" t="s">
        <v>369</v>
      </c>
      <c r="AE35" s="2372"/>
      <c r="AF35" s="2372"/>
      <c r="AG35" s="2372"/>
      <c r="AH35" s="2372"/>
    </row>
    <row r="36" spans="1:76" ht="12.9" customHeight="1">
      <c r="B36" s="407"/>
      <c r="X36" s="412"/>
      <c r="Y36" s="2371"/>
      <c r="Z36" s="2371"/>
      <c r="AA36" s="2371"/>
      <c r="AB36" s="2371"/>
      <c r="AC36" s="2371"/>
      <c r="AD36" s="2372"/>
      <c r="AE36" s="2372"/>
      <c r="AF36" s="2372"/>
      <c r="AG36" s="2372"/>
      <c r="AH36" s="2372"/>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71"/>
      <c r="Z37" s="2371"/>
      <c r="AA37" s="2371"/>
      <c r="AB37" s="2371"/>
      <c r="AC37" s="2371"/>
      <c r="AD37" s="2372"/>
      <c r="AE37" s="2372"/>
      <c r="AF37" s="2372"/>
      <c r="AG37" s="2372"/>
      <c r="AH37" s="2372"/>
    </row>
    <row r="38" spans="1:76" ht="12.9" customHeight="1">
      <c r="A38" s="404"/>
      <c r="B38" s="2357" t="s">
        <v>506</v>
      </c>
      <c r="C38" s="2358"/>
      <c r="D38" s="2358"/>
      <c r="E38" s="2358"/>
      <c r="F38" s="2358"/>
      <c r="G38" s="2358"/>
      <c r="H38" s="2358"/>
      <c r="I38" s="2358"/>
      <c r="J38" s="2358"/>
      <c r="K38" s="2358"/>
      <c r="L38" s="2358"/>
      <c r="M38" s="2358"/>
      <c r="N38" s="2358"/>
      <c r="O38" s="2358"/>
      <c r="P38" s="2358"/>
      <c r="Q38" s="2358"/>
      <c r="R38" s="2358"/>
      <c r="S38" s="2358"/>
      <c r="T38" s="2358"/>
      <c r="U38" s="2358"/>
      <c r="V38" s="2358"/>
      <c r="W38" s="2358"/>
      <c r="X38" s="2359"/>
      <c r="Y38" s="2351">
        <f>IF(T24&gt;=(T23+Y23+AD23+AI23),T28+Y28,0)</f>
        <v>71939056.799999997</v>
      </c>
      <c r="Z38" s="2351"/>
      <c r="AA38" s="2351"/>
      <c r="AB38" s="2351"/>
      <c r="AC38" s="2351"/>
      <c r="AD38" s="2351">
        <f>IF(T24&gt;=(T23+Y23+AD23+AI23),AD28+AI28,0)</f>
        <v>0</v>
      </c>
      <c r="AE38" s="2351"/>
      <c r="AF38" s="2351"/>
      <c r="AG38" s="2351"/>
      <c r="AH38" s="2351"/>
    </row>
    <row r="39" spans="1:76" ht="12.9" customHeight="1">
      <c r="B39" s="2357" t="s">
        <v>1679</v>
      </c>
      <c r="C39" s="2358"/>
      <c r="D39" s="2358"/>
      <c r="E39" s="2358"/>
      <c r="F39" s="2358"/>
      <c r="G39" s="2358"/>
      <c r="H39" s="2358"/>
      <c r="I39" s="2358"/>
      <c r="J39" s="2358"/>
      <c r="K39" s="2358"/>
      <c r="L39" s="2358"/>
      <c r="M39" s="2358"/>
      <c r="N39" s="2358"/>
      <c r="O39" s="2358"/>
      <c r="P39" s="2358"/>
      <c r="Q39" s="2358"/>
      <c r="R39" s="2358"/>
      <c r="S39" s="2358"/>
      <c r="T39" s="2358"/>
      <c r="U39" s="2358"/>
      <c r="V39" s="2358"/>
      <c r="W39" s="2358"/>
      <c r="X39" s="2359"/>
      <c r="Y39" s="2373">
        <v>0.04</v>
      </c>
      <c r="Z39" s="2373"/>
      <c r="AA39" s="2373"/>
      <c r="AB39" s="2373"/>
      <c r="AC39" s="2373"/>
      <c r="AD39" s="2373">
        <v>0.04</v>
      </c>
      <c r="AE39" s="2373"/>
      <c r="AF39" s="2373"/>
      <c r="AG39" s="2373"/>
      <c r="AH39" s="2373"/>
    </row>
    <row r="40" spans="1:76" ht="12.9" customHeight="1">
      <c r="A40" s="404"/>
      <c r="B40" s="2357" t="s">
        <v>642</v>
      </c>
      <c r="C40" s="2358"/>
      <c r="D40" s="2358"/>
      <c r="E40" s="2358"/>
      <c r="F40" s="2358"/>
      <c r="G40" s="2358"/>
      <c r="H40" s="2358"/>
      <c r="I40" s="2358"/>
      <c r="J40" s="2358"/>
      <c r="K40" s="2358"/>
      <c r="L40" s="2358"/>
      <c r="M40" s="2358"/>
      <c r="N40" s="2358"/>
      <c r="O40" s="2358"/>
      <c r="P40" s="2358"/>
      <c r="Q40" s="2358"/>
      <c r="R40" s="2358"/>
      <c r="S40" s="2358"/>
      <c r="T40" s="2358"/>
      <c r="U40" s="2358"/>
      <c r="V40" s="2358"/>
      <c r="W40" s="2358"/>
      <c r="X40" s="2359"/>
      <c r="Y40" s="2351">
        <f>ROUND(Y38*Y39,0)</f>
        <v>2877562</v>
      </c>
      <c r="Z40" s="2351"/>
      <c r="AA40" s="2351"/>
      <c r="AB40" s="2351"/>
      <c r="AC40" s="2351"/>
      <c r="AD40" s="2370">
        <f>ROUND(AD38*AD39,0)</f>
        <v>0</v>
      </c>
      <c r="AE40" s="2351"/>
      <c r="AF40" s="2351"/>
      <c r="AG40" s="2351"/>
      <c r="AH40" s="2351"/>
    </row>
    <row r="41" spans="1:76" ht="12.9" customHeight="1">
      <c r="B41" s="2357" t="s">
        <v>643</v>
      </c>
      <c r="C41" s="2358"/>
      <c r="D41" s="2358"/>
      <c r="E41" s="2358"/>
      <c r="F41" s="2358"/>
      <c r="G41" s="2358"/>
      <c r="H41" s="2358"/>
      <c r="I41" s="2358"/>
      <c r="J41" s="2358"/>
      <c r="K41" s="2358"/>
      <c r="L41" s="2358"/>
      <c r="M41" s="2358"/>
      <c r="N41" s="2358"/>
      <c r="O41" s="2358"/>
      <c r="P41" s="2358"/>
      <c r="Q41" s="2358"/>
      <c r="R41" s="2358"/>
      <c r="S41" s="2358"/>
      <c r="T41" s="2358"/>
      <c r="U41" s="2358"/>
      <c r="V41" s="2358"/>
      <c r="W41" s="2358"/>
      <c r="X41" s="2359"/>
      <c r="Y41" s="2361">
        <f>Y40+AD40</f>
        <v>2877562</v>
      </c>
      <c r="Z41" s="2369"/>
      <c r="AA41" s="2369"/>
      <c r="AB41" s="2369"/>
      <c r="AC41" s="2369"/>
      <c r="AD41" s="2369"/>
      <c r="AE41" s="2369"/>
      <c r="AF41" s="2369"/>
      <c r="AG41" s="2369"/>
      <c r="AH41" s="2370"/>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68" t="s">
        <v>1275</v>
      </c>
      <c r="B44" s="2368"/>
      <c r="C44" s="2368"/>
      <c r="D44" s="2368"/>
      <c r="E44" s="2368"/>
      <c r="F44" s="2368"/>
      <c r="G44" s="2368"/>
      <c r="H44" s="2368"/>
      <c r="I44" s="2368"/>
      <c r="J44" s="2368"/>
      <c r="K44" s="2368"/>
      <c r="L44" s="2368"/>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c r="AS44" s="2368"/>
      <c r="AT44" s="2368"/>
      <c r="AU44" s="2368"/>
      <c r="AV44" s="2368"/>
      <c r="AW44" s="2368"/>
      <c r="AX44" s="2368"/>
      <c r="AY44" s="2368"/>
      <c r="AZ44" s="2368"/>
      <c r="BA44" s="2368"/>
      <c r="BB44" s="2368"/>
      <c r="BC44" s="2368"/>
      <c r="BD44" s="2368"/>
      <c r="BE44" s="2368"/>
      <c r="BF44" s="2368"/>
      <c r="BG44" s="2368"/>
      <c r="BH44" s="2368"/>
      <c r="BI44" s="2368"/>
      <c r="BJ44" s="2368"/>
      <c r="BK44" s="2368"/>
      <c r="BL44" s="2368"/>
      <c r="BM44" s="2368"/>
      <c r="BN44" s="2368"/>
      <c r="BO44" s="2368"/>
      <c r="BP44" s="2368"/>
      <c r="BQ44" s="2368"/>
      <c r="BR44" s="2368"/>
      <c r="BS44" s="2368"/>
      <c r="BT44" s="2368"/>
      <c r="BU44" s="2368"/>
      <c r="BV44" s="2368"/>
      <c r="BW44" s="2368"/>
      <c r="BX44" s="2368"/>
    </row>
    <row r="45" spans="1:76" s="204" customFormat="1" ht="12.9" customHeight="1" thickTop="1"/>
    <row r="46" spans="1:76" ht="12.9" customHeight="1">
      <c r="A46" s="404" t="s">
        <v>586</v>
      </c>
      <c r="C46" s="404" t="s">
        <v>282</v>
      </c>
    </row>
    <row r="47" spans="1:76" ht="12.9" customHeight="1">
      <c r="D47" s="404" t="s">
        <v>283</v>
      </c>
      <c r="AB47" s="2365">
        <f>'Sources and Uses Budget'!B105-MAX(IF('Sources and Uses Budget'!B15="",0,'Sources and Uses Budget'!B15),IF(Application!AG403="",0,Application!AG403))</f>
        <v>63865236</v>
      </c>
      <c r="AC47" s="2366"/>
      <c r="AD47" s="2366"/>
      <c r="AE47" s="2366"/>
      <c r="AF47" s="2367"/>
    </row>
    <row r="48" spans="1:76" ht="12.9" customHeight="1">
      <c r="D48" s="404" t="s">
        <v>21</v>
      </c>
      <c r="AB48" s="2365">
        <f>Application!AO647-MAX(IF('Sources and Uses Budget'!B15="",0,'Sources and Uses Budget'!B15),IF(Application!AG403="",0,Application!AG403))</f>
        <v>27172646</v>
      </c>
      <c r="AC48" s="2366"/>
      <c r="AD48" s="2366"/>
      <c r="AE48" s="2366"/>
      <c r="AF48" s="2367"/>
    </row>
    <row r="49" spans="1:76" ht="12.9" customHeight="1">
      <c r="D49" s="404" t="s">
        <v>91</v>
      </c>
      <c r="AB49" s="2365">
        <f>AB47-AB48</f>
        <v>36692590</v>
      </c>
      <c r="AC49" s="2366"/>
      <c r="AD49" s="2366"/>
      <c r="AE49" s="2366"/>
      <c r="AF49" s="2367"/>
    </row>
    <row r="50" spans="1:76" ht="12.9" customHeight="1">
      <c r="D50" s="404" t="s">
        <v>681</v>
      </c>
      <c r="AA50" s="415"/>
      <c r="AB50" s="2353">
        <v>0.83655007214983257</v>
      </c>
      <c r="AC50" s="2354"/>
      <c r="AD50" s="2354"/>
      <c r="AE50" s="2354"/>
      <c r="AF50" s="2355"/>
    </row>
    <row r="51" spans="1:76" s="417" customFormat="1" ht="12.9" customHeight="1">
      <c r="A51" s="402"/>
      <c r="B51" s="402"/>
      <c r="C51" s="402"/>
      <c r="D51" s="402"/>
      <c r="E51" s="2364" t="s">
        <v>2534</v>
      </c>
      <c r="F51" s="2364"/>
      <c r="G51" s="2364"/>
      <c r="H51" s="2364"/>
      <c r="I51" s="2364"/>
      <c r="J51" s="2364"/>
      <c r="K51" s="2364"/>
      <c r="L51" s="2364"/>
      <c r="M51" s="2364"/>
      <c r="N51" s="2364"/>
      <c r="O51" s="2364"/>
      <c r="P51" s="2364"/>
      <c r="Q51" s="2364"/>
      <c r="R51" s="2364"/>
      <c r="S51" s="2364"/>
      <c r="T51" s="2364"/>
      <c r="U51" s="2364"/>
      <c r="V51" s="2364"/>
      <c r="W51" s="2364"/>
      <c r="X51" s="2364"/>
      <c r="Y51" s="2364"/>
      <c r="Z51" s="2364"/>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65">
        <f>ROUND(IF(ISERROR((AB49/AB50)),0,(AB49/AB50)),0)</f>
        <v>43861798</v>
      </c>
      <c r="AC54" s="2366"/>
      <c r="AD54" s="2366"/>
      <c r="AE54" s="2366"/>
      <c r="AF54" s="2367"/>
    </row>
    <row r="55" spans="1:76" ht="12.9" customHeight="1">
      <c r="D55" s="404" t="s">
        <v>333</v>
      </c>
      <c r="AB55" s="2365">
        <f>(AB54/10)</f>
        <v>4386179.8</v>
      </c>
      <c r="AC55" s="2366"/>
      <c r="AD55" s="2366"/>
      <c r="AE55" s="2366"/>
      <c r="AF55" s="2367"/>
    </row>
    <row r="56" spans="1:76" ht="12.9" customHeight="1">
      <c r="D56" s="404" t="s">
        <v>756</v>
      </c>
      <c r="AB56" s="2365">
        <f>ROUND((IF((Y41&lt;AB55),Y41,AB55)),0)</f>
        <v>2877562</v>
      </c>
      <c r="AC56" s="2366"/>
      <c r="AD56" s="2366"/>
      <c r="AE56" s="2366"/>
      <c r="AF56" s="2367"/>
    </row>
    <row r="57" spans="1:76" ht="12.9" customHeight="1">
      <c r="D57" s="404" t="s">
        <v>755</v>
      </c>
      <c r="AB57" s="2365">
        <f>ROUND((10*AB56*AB50),0)</f>
        <v>24072247</v>
      </c>
      <c r="AC57" s="2366"/>
      <c r="AD57" s="2366"/>
      <c r="AE57" s="2366"/>
      <c r="AF57" s="2367"/>
    </row>
    <row r="58" spans="1:76" ht="12.9" customHeight="1">
      <c r="D58" s="404"/>
      <c r="AB58" s="423"/>
      <c r="AC58" s="423"/>
      <c r="AD58" s="423"/>
      <c r="AE58" s="423"/>
      <c r="AF58" s="423"/>
    </row>
    <row r="59" spans="1:76" ht="12.9" customHeight="1">
      <c r="D59" s="404" t="s">
        <v>754</v>
      </c>
      <c r="AB59" s="2349">
        <f>AB49-AB57</f>
        <v>12620343</v>
      </c>
      <c r="AC59" s="2349"/>
      <c r="AD59" s="2349"/>
      <c r="AE59" s="2349"/>
      <c r="AF59" s="2349"/>
    </row>
    <row r="60" spans="1:76" ht="12.9" customHeight="1">
      <c r="D60" s="404"/>
      <c r="AB60" s="423"/>
      <c r="AC60" s="423"/>
      <c r="AD60" s="423"/>
      <c r="AE60" s="423"/>
      <c r="AF60" s="423"/>
    </row>
    <row r="61" spans="1:76" s="204" customFormat="1" ht="12.9" customHeight="1" thickBot="1">
      <c r="A61" s="2368" t="str">
        <f>IF(Application!AP205="yes","Farmworker State Credit", "State Credit" )</f>
        <v>State Credit</v>
      </c>
      <c r="B61" s="2368"/>
      <c r="C61" s="2368"/>
      <c r="D61" s="2368"/>
      <c r="E61" s="2368"/>
      <c r="F61" s="2368"/>
      <c r="G61" s="2368"/>
      <c r="H61" s="2368"/>
      <c r="I61" s="2368"/>
      <c r="J61" s="2368"/>
      <c r="K61" s="2368"/>
      <c r="L61" s="2368"/>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c r="AS61" s="2368"/>
      <c r="AT61" s="2368"/>
      <c r="AU61" s="2368"/>
      <c r="AV61" s="2368"/>
      <c r="AW61" s="2368"/>
      <c r="AX61" s="2368"/>
      <c r="AY61" s="2368"/>
      <c r="AZ61" s="2368"/>
      <c r="BA61" s="2368"/>
      <c r="BB61" s="2368"/>
      <c r="BC61" s="2368"/>
      <c r="BD61" s="2368"/>
      <c r="BE61" s="2368"/>
      <c r="BF61" s="2368"/>
      <c r="BG61" s="2368"/>
      <c r="BH61" s="2368"/>
      <c r="BI61" s="2368"/>
      <c r="BJ61" s="2368"/>
      <c r="BK61" s="2368"/>
      <c r="BL61" s="2368"/>
      <c r="BM61" s="2368"/>
      <c r="BN61" s="2368"/>
      <c r="BO61" s="2368"/>
      <c r="BP61" s="2368"/>
      <c r="BQ61" s="2368"/>
      <c r="BR61" s="2368"/>
      <c r="BS61" s="2368"/>
      <c r="BT61" s="2368"/>
      <c r="BU61" s="2368"/>
      <c r="BV61" s="2368"/>
      <c r="BW61" s="2368"/>
      <c r="BX61" s="2368"/>
    </row>
    <row r="62" spans="1:76" s="204" customFormat="1" ht="12.9" customHeight="1" thickTop="1"/>
    <row r="63" spans="1:76" ht="12.9" customHeight="1">
      <c r="A63" s="404" t="s">
        <v>589</v>
      </c>
      <c r="C63" s="205" t="s">
        <v>1247</v>
      </c>
      <c r="Y63" s="2360" t="s">
        <v>983</v>
      </c>
      <c r="Z63" s="2360"/>
      <c r="AA63" s="2360"/>
      <c r="AB63" s="2360"/>
      <c r="AC63" s="2360"/>
      <c r="AD63" s="2360" t="s">
        <v>369</v>
      </c>
      <c r="AE63" s="2360"/>
      <c r="AF63" s="2360"/>
      <c r="AG63" s="2360"/>
      <c r="AH63" s="2360"/>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61">
        <f>IF(Application!$Z$205="(select)",0,((T23*T27)+Y28))</f>
        <v>55337736</v>
      </c>
      <c r="Z64" s="2362"/>
      <c r="AA64" s="2362"/>
      <c r="AB64" s="2362"/>
      <c r="AC64" s="2363"/>
      <c r="AD64" s="2361">
        <f>IF(AND(OR(Application!D211="At-Risk",Application!D211="At-Risk and Special Needs"),Application!M367="yes"),AD28+AI28,0)</f>
        <v>0</v>
      </c>
      <c r="AE64" s="2362"/>
      <c r="AF64" s="2362"/>
      <c r="AG64" s="2362"/>
      <c r="AH64" s="2363"/>
    </row>
    <row r="65" spans="1:37" ht="12.9"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50">
        <f>IF(OR(Application!Z205="State Farmworker Credit",Application!Z205="$500M (Farmworker Housing)"),0.75,IF(Application!Z205="15% set-aside",0.13,IF(Application!Z205="15% set-aside with qualifying low value rehab",0.95,IF(Application!Z205="$500M",0.3,0))))</f>
        <v>0.3</v>
      </c>
      <c r="Z67" s="2350"/>
      <c r="AA67" s="2350"/>
      <c r="AB67" s="2350"/>
      <c r="AC67" s="2350"/>
      <c r="AD67" s="2350">
        <f>IF(Application!Z205="15% set-aside with qualifying low value rehab", 0.95,IF(OR(Application!D211="At-Risk",'Points System'!B26="Yes"),0.13,0))</f>
        <v>0</v>
      </c>
      <c r="AE67" s="2350"/>
      <c r="AF67" s="2350"/>
      <c r="AG67" s="2350"/>
      <c r="AH67" s="2350"/>
    </row>
    <row r="68" spans="1:37" ht="12.9" customHeight="1">
      <c r="C68" s="404"/>
      <c r="D68" s="205" t="s">
        <v>2177</v>
      </c>
      <c r="Y68" s="2351">
        <f>IF(AND(T25=1.3,OR(Y67=0.13,Y67=0.95),NOT(Application!T212&gt;=50%)),0,ROUND(Y64*Y67,0))</f>
        <v>16601321</v>
      </c>
      <c r="Z68" s="2352"/>
      <c r="AA68" s="2352"/>
      <c r="AB68" s="2352"/>
      <c r="AC68" s="2352"/>
      <c r="AD68" s="2351">
        <f>IF(AND(T25=1.3,AD67&gt;0,NOT(Application!T212&gt;=50%)),0,ROUND(AD64*AD67,0))</f>
        <v>0</v>
      </c>
      <c r="AE68" s="2352"/>
      <c r="AF68" s="2352"/>
      <c r="AG68" s="2352"/>
      <c r="AH68" s="2352"/>
      <c r="AK68" s="1192"/>
    </row>
    <row r="69" spans="1:37" ht="12.9" customHeight="1">
      <c r="C69" s="404"/>
      <c r="D69" s="205" t="s">
        <v>2178</v>
      </c>
      <c r="Y69" s="2351">
        <f>IF(OR(Application!Z205="State Farmworker Credit",Application!Z205="$500M (Farmworker Housing)"),Y68+AD68,MIN(Y68+AD68,200000*(Application!G761+Application!O785)))</f>
        <v>16601321</v>
      </c>
      <c r="Z69" s="2351"/>
      <c r="AA69" s="2351"/>
      <c r="AB69" s="2351"/>
      <c r="AC69" s="2351"/>
      <c r="AD69" s="2351"/>
      <c r="AE69" s="2351"/>
      <c r="AF69" s="2351"/>
      <c r="AG69" s="2351"/>
      <c r="AH69" s="2351"/>
    </row>
    <row r="70" spans="1:37" ht="12.9" customHeight="1">
      <c r="C70" s="404"/>
      <c r="E70" s="404"/>
      <c r="AB70" s="422"/>
      <c r="AC70" s="422"/>
      <c r="AD70" s="422"/>
      <c r="AE70" s="422"/>
      <c r="AF70" s="422"/>
    </row>
    <row r="71" spans="1:37" ht="12.9" customHeight="1">
      <c r="A71" s="404" t="s">
        <v>590</v>
      </c>
      <c r="C71" s="205" t="s">
        <v>284</v>
      </c>
    </row>
    <row r="72" spans="1:37" ht="12.9" customHeight="1">
      <c r="A72" s="404"/>
      <c r="C72" s="404"/>
      <c r="D72" s="205" t="s">
        <v>1249</v>
      </c>
      <c r="AB72" s="2353">
        <v>0.88999998000000002</v>
      </c>
      <c r="AC72" s="2354"/>
      <c r="AD72" s="2354"/>
      <c r="AE72" s="2354"/>
      <c r="AF72" s="2355"/>
    </row>
    <row r="73" spans="1:37" ht="12.9" customHeight="1">
      <c r="A73" s="404"/>
      <c r="C73" s="404"/>
      <c r="D73" s="404"/>
      <c r="E73" s="2356" t="s">
        <v>1250</v>
      </c>
      <c r="F73" s="2356"/>
      <c r="G73" s="2356"/>
      <c r="H73" s="2356"/>
      <c r="I73" s="2356"/>
      <c r="J73" s="2356"/>
      <c r="K73" s="2356"/>
      <c r="L73" s="2356"/>
      <c r="M73" s="2356"/>
      <c r="N73" s="2356"/>
      <c r="O73" s="2356"/>
      <c r="P73" s="2356"/>
      <c r="Q73" s="2356"/>
      <c r="R73" s="2356"/>
      <c r="S73" s="2356"/>
      <c r="T73" s="2356"/>
      <c r="U73" s="2356"/>
      <c r="V73" s="2356"/>
      <c r="W73" s="2356"/>
      <c r="X73" s="2356"/>
      <c r="Y73" s="2356"/>
      <c r="Z73" s="2356"/>
      <c r="AA73" s="2356"/>
      <c r="AB73" s="438"/>
      <c r="AC73" s="438"/>
    </row>
    <row r="74" spans="1:37" ht="12.9" customHeight="1">
      <c r="A74" s="404"/>
      <c r="C74" s="404"/>
      <c r="D74" s="404"/>
      <c r="E74" s="2356"/>
      <c r="F74" s="2356"/>
      <c r="G74" s="2356"/>
      <c r="H74" s="2356"/>
      <c r="I74" s="2356"/>
      <c r="J74" s="2356"/>
      <c r="K74" s="2356"/>
      <c r="L74" s="2356"/>
      <c r="M74" s="2356"/>
      <c r="N74" s="2356"/>
      <c r="O74" s="2356"/>
      <c r="P74" s="2356"/>
      <c r="Q74" s="2356"/>
      <c r="R74" s="2356"/>
      <c r="S74" s="2356"/>
      <c r="T74" s="2356"/>
      <c r="U74" s="2356"/>
      <c r="V74" s="2356"/>
      <c r="W74" s="2356"/>
      <c r="X74" s="2356"/>
      <c r="Y74" s="2356"/>
      <c r="Z74" s="2356"/>
      <c r="AA74" s="2356"/>
      <c r="AB74" s="438"/>
      <c r="AC74" s="438"/>
    </row>
    <row r="75" spans="1:37" ht="12.9" customHeight="1">
      <c r="A75" s="404"/>
      <c r="C75" s="404"/>
      <c r="D75" s="404"/>
      <c r="E75" s="2356"/>
      <c r="F75" s="2356"/>
      <c r="G75" s="2356"/>
      <c r="H75" s="2356"/>
      <c r="I75" s="2356"/>
      <c r="J75" s="2356"/>
      <c r="K75" s="2356"/>
      <c r="L75" s="2356"/>
      <c r="M75" s="2356"/>
      <c r="N75" s="2356"/>
      <c r="O75" s="2356"/>
      <c r="P75" s="2356"/>
      <c r="Q75" s="2356"/>
      <c r="R75" s="2356"/>
      <c r="S75" s="2356"/>
      <c r="T75" s="2356"/>
      <c r="U75" s="2356"/>
      <c r="V75" s="2356"/>
      <c r="W75" s="2356"/>
      <c r="X75" s="2356"/>
      <c r="Y75" s="2356"/>
      <c r="Z75" s="2356"/>
      <c r="AA75" s="2356"/>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44">
        <f>ROUND(IF(ISERROR((AB59/AB72)),0,(AB59/AB72)),0)</f>
        <v>14180161</v>
      </c>
      <c r="AC77" s="2344"/>
      <c r="AD77" s="2344"/>
      <c r="AE77" s="2344"/>
      <c r="AF77" s="2344"/>
    </row>
    <row r="78" spans="1:37" ht="12.9" customHeight="1">
      <c r="C78" s="404"/>
      <c r="D78" s="205" t="s">
        <v>1252</v>
      </c>
      <c r="AB78" s="2345">
        <f>ROUNDUP(MIN(Y69,AB77),0)</f>
        <v>14180161</v>
      </c>
      <c r="AC78" s="2346"/>
      <c r="AD78" s="2346"/>
      <c r="AE78" s="2346"/>
      <c r="AF78" s="2347"/>
    </row>
    <row r="79" spans="1:37" ht="12.9" customHeight="1">
      <c r="C79" s="404"/>
      <c r="D79" s="205" t="s">
        <v>1253</v>
      </c>
      <c r="AB79" s="2348">
        <f>AB78*AB72</f>
        <v>12620343.00639678</v>
      </c>
      <c r="AC79" s="2348"/>
      <c r="AD79" s="2348"/>
      <c r="AE79" s="2348"/>
      <c r="AF79" s="2348"/>
    </row>
    <row r="80" spans="1:37" ht="12.9" customHeight="1">
      <c r="C80" s="404"/>
      <c r="D80" s="404"/>
      <c r="AB80" s="425"/>
      <c r="AC80" s="425"/>
      <c r="AD80" s="425"/>
      <c r="AE80" s="425"/>
      <c r="AF80" s="425"/>
    </row>
    <row r="81" spans="1:78" ht="12.9" customHeight="1">
      <c r="D81" s="404" t="s">
        <v>754</v>
      </c>
      <c r="AB81" s="2349">
        <f>AB49-(AB57+AB79)</f>
        <v>-6.3967779278755188E-3</v>
      </c>
      <c r="AC81" s="2349"/>
      <c r="AD81" s="2349"/>
      <c r="AE81" s="2349"/>
      <c r="AF81" s="2349"/>
    </row>
    <row r="82" spans="1:78" ht="12.9" customHeight="1">
      <c r="F82" s="522"/>
      <c r="J82" s="522" t="str">
        <f>IF(AB81&gt;0,"FUNDING GAP MUST NOT EXCEED ZERO","")</f>
        <v/>
      </c>
    </row>
    <row r="83" spans="1:78" ht="12.9" customHeight="1">
      <c r="D83" s="523"/>
    </row>
    <row r="84" spans="1:78" ht="12.9" customHeight="1" thickBot="1">
      <c r="A84" s="2368"/>
      <c r="B84" s="2368"/>
      <c r="C84" s="2368"/>
      <c r="D84" s="2368"/>
      <c r="E84" s="2368"/>
      <c r="F84" s="2368"/>
      <c r="G84" s="2368"/>
      <c r="H84" s="2368"/>
      <c r="I84" s="2368"/>
      <c r="J84" s="2368"/>
      <c r="K84" s="2368"/>
      <c r="L84" s="2368"/>
      <c r="M84" s="2368"/>
      <c r="N84" s="2368"/>
      <c r="O84" s="2368"/>
      <c r="P84" s="2368"/>
      <c r="Q84" s="2368"/>
      <c r="R84" s="2368"/>
      <c r="S84" s="2368"/>
      <c r="T84" s="2368"/>
      <c r="U84" s="2368"/>
      <c r="V84" s="2368"/>
      <c r="W84" s="2368"/>
      <c r="X84" s="2368"/>
      <c r="Y84" s="2368"/>
      <c r="Z84" s="2368"/>
      <c r="AA84" s="2368"/>
      <c r="AB84" s="2368"/>
      <c r="AC84" s="2368"/>
      <c r="AD84" s="2368"/>
      <c r="AE84" s="2368"/>
      <c r="AF84" s="2368"/>
      <c r="AG84" s="2368"/>
      <c r="AH84" s="2368"/>
      <c r="AI84" s="2368"/>
      <c r="AJ84" s="2368"/>
      <c r="AK84" s="2368"/>
      <c r="AL84" s="2368"/>
      <c r="AM84" s="2368"/>
      <c r="AN84" s="2368"/>
      <c r="AO84" s="2368"/>
      <c r="AP84" s="2368"/>
      <c r="AQ84" s="2368"/>
      <c r="AR84" s="2368"/>
      <c r="AS84" s="2368"/>
      <c r="AT84" s="2368"/>
      <c r="AU84" s="2368"/>
      <c r="AV84" s="2368"/>
      <c r="AW84" s="2368"/>
      <c r="AX84" s="2368"/>
      <c r="AY84" s="2368"/>
      <c r="AZ84" s="2368"/>
      <c r="BA84" s="2368"/>
      <c r="BB84" s="2368"/>
      <c r="BC84" s="2368"/>
      <c r="BD84" s="2368"/>
      <c r="BE84" s="2368"/>
      <c r="BF84" s="2368"/>
      <c r="BG84" s="2368"/>
      <c r="BH84" s="2368"/>
      <c r="BI84" s="2368"/>
      <c r="BJ84" s="2368"/>
      <c r="BK84" s="2368"/>
      <c r="BL84" s="2368"/>
      <c r="BM84" s="2368"/>
      <c r="BN84" s="2368"/>
      <c r="BO84" s="2368"/>
      <c r="BP84" s="2368"/>
      <c r="BQ84" s="2368"/>
      <c r="BR84" s="2368"/>
      <c r="BS84" s="2368"/>
      <c r="BT84" s="2368"/>
      <c r="BU84" s="2368"/>
      <c r="BV84" s="2368"/>
      <c r="BW84" s="2368"/>
      <c r="BX84" s="2368"/>
    </row>
    <row r="85" spans="1:78" ht="12.9" customHeight="1" thickTop="1"/>
    <row r="86" spans="1:78" ht="12.9" hidden="1" customHeight="1">
      <c r="A86" s="404"/>
      <c r="C86" s="205"/>
    </row>
    <row r="87" spans="1:78" ht="12.9" hidden="1" customHeight="1">
      <c r="D87" s="205"/>
      <c r="AB87" s="2400"/>
      <c r="AC87" s="2400"/>
      <c r="AD87" s="2400"/>
      <c r="AE87" s="2400"/>
      <c r="AF87" s="2400"/>
    </row>
    <row r="88" spans="1:78" ht="12.9" hidden="1" customHeight="1" thickBot="1">
      <c r="D88" s="205"/>
      <c r="AB88" s="2399"/>
      <c r="AC88" s="2399"/>
      <c r="AD88" s="2399"/>
      <c r="AE88" s="2399"/>
      <c r="AF88" s="239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Normal="100" workbookViewId="0">
      <selection sqref="A1:AM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443" t="s">
        <v>1298</v>
      </c>
      <c r="B1" s="2443"/>
      <c r="C1" s="2443"/>
      <c r="D1" s="2443"/>
      <c r="E1" s="2443"/>
      <c r="F1" s="2443"/>
      <c r="G1" s="2443"/>
      <c r="H1" s="2443"/>
      <c r="I1" s="2443"/>
      <c r="J1" s="2443"/>
      <c r="K1" s="2443"/>
      <c r="L1" s="2443"/>
      <c r="M1" s="2443"/>
      <c r="N1" s="2443"/>
      <c r="O1" s="2443"/>
      <c r="P1" s="2443"/>
      <c r="Q1" s="2443"/>
      <c r="R1" s="2443"/>
      <c r="S1" s="2443"/>
      <c r="T1" s="2443"/>
      <c r="U1" s="2443"/>
      <c r="V1" s="2443"/>
      <c r="W1" s="2443"/>
      <c r="X1" s="2443"/>
      <c r="Y1" s="2443"/>
      <c r="Z1" s="2443"/>
      <c r="AA1" s="2443"/>
      <c r="AB1" s="2443"/>
      <c r="AC1" s="2443"/>
      <c r="AD1" s="2443"/>
      <c r="AE1" s="2443"/>
      <c r="AF1" s="2443"/>
      <c r="AG1" s="2443"/>
      <c r="AH1" s="2443"/>
      <c r="AI1" s="2443"/>
      <c r="AJ1" s="2443"/>
      <c r="AK1" s="2443"/>
      <c r="AL1" s="2443"/>
      <c r="AM1" s="2443"/>
    </row>
    <row r="2" spans="1:41" s="536" customFormat="1" ht="12.75" customHeight="1" thickBot="1">
      <c r="A2" s="2444"/>
      <c r="B2" s="2444"/>
      <c r="C2" s="2444"/>
      <c r="D2" s="2444"/>
      <c r="E2" s="2444"/>
      <c r="F2" s="2444"/>
      <c r="G2" s="2444"/>
      <c r="H2" s="2444"/>
      <c r="I2" s="2444"/>
      <c r="J2" s="2444"/>
      <c r="K2" s="2444"/>
      <c r="L2" s="2444"/>
      <c r="M2" s="2444"/>
      <c r="N2" s="2444"/>
      <c r="O2" s="2444"/>
      <c r="P2" s="2444"/>
      <c r="Q2" s="2444"/>
      <c r="R2" s="2444"/>
      <c r="S2" s="2444"/>
      <c r="T2" s="2444"/>
      <c r="U2" s="2444"/>
      <c r="V2" s="2444"/>
      <c r="W2" s="2444"/>
      <c r="X2" s="2444"/>
      <c r="Y2" s="2444"/>
      <c r="Z2" s="2444"/>
      <c r="AA2" s="2444"/>
      <c r="AB2" s="2444"/>
      <c r="AC2" s="2444"/>
      <c r="AD2" s="2444"/>
      <c r="AE2" s="2444"/>
      <c r="AF2" s="2444"/>
      <c r="AG2" s="2444"/>
      <c r="AH2" s="2444"/>
      <c r="AI2" s="2444"/>
      <c r="AJ2" s="2444"/>
      <c r="AK2" s="2444"/>
      <c r="AL2" s="2444"/>
      <c r="AM2" s="2444"/>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36" t="s">
        <v>1302</v>
      </c>
      <c r="AF7" s="2436"/>
      <c r="AG7" s="2436"/>
      <c r="AH7" s="2436"/>
      <c r="AI7" s="2436"/>
      <c r="AJ7" s="2436"/>
      <c r="AK7" s="2436"/>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408" t="s">
        <v>591</v>
      </c>
      <c r="C12" s="2408"/>
      <c r="D12" s="540"/>
      <c r="E12" s="2424" t="s">
        <v>2548</v>
      </c>
      <c r="F12" s="2425"/>
      <c r="G12" s="2425"/>
      <c r="H12" s="2425"/>
      <c r="I12" s="2425"/>
      <c r="J12" s="2425"/>
      <c r="K12" s="2425"/>
      <c r="L12" s="2425"/>
      <c r="M12" s="2425"/>
      <c r="N12" s="2425"/>
      <c r="O12" s="2425"/>
      <c r="P12" s="2425"/>
      <c r="Q12" s="2425"/>
      <c r="R12" s="2425"/>
      <c r="S12" s="2425"/>
      <c r="T12" s="2425"/>
      <c r="U12" s="2425"/>
      <c r="V12" s="2425"/>
      <c r="W12" s="2425"/>
      <c r="X12" s="2425"/>
      <c r="Y12" s="2425"/>
      <c r="Z12" s="2425"/>
      <c r="AA12" s="2425"/>
      <c r="AB12" s="2425"/>
      <c r="AC12" s="2425"/>
      <c r="AD12" s="2425"/>
      <c r="AE12" s="2425"/>
      <c r="AF12" s="2425"/>
      <c r="AG12" s="2425"/>
      <c r="AH12" s="2425"/>
      <c r="AI12" s="2425"/>
      <c r="AJ12" s="2426"/>
      <c r="AK12" s="540"/>
      <c r="AL12" s="540"/>
      <c r="AM12" s="540"/>
      <c r="AN12" s="535"/>
      <c r="AO12" s="557"/>
    </row>
    <row r="13" spans="1:41" s="536" customFormat="1" ht="12.75" customHeight="1">
      <c r="A13" s="540"/>
      <c r="D13" s="546"/>
      <c r="E13" s="2453"/>
      <c r="F13" s="2454"/>
      <c r="G13" s="2454"/>
      <c r="H13" s="2454"/>
      <c r="I13" s="2454"/>
      <c r="J13" s="2454"/>
      <c r="K13" s="2454"/>
      <c r="L13" s="2454"/>
      <c r="M13" s="2454"/>
      <c r="N13" s="2454"/>
      <c r="O13" s="2454"/>
      <c r="P13" s="2454"/>
      <c r="Q13" s="2454"/>
      <c r="R13" s="2454"/>
      <c r="S13" s="2454"/>
      <c r="T13" s="2454"/>
      <c r="U13" s="2454"/>
      <c r="V13" s="2454"/>
      <c r="W13" s="2454"/>
      <c r="X13" s="2454"/>
      <c r="Y13" s="2454"/>
      <c r="Z13" s="2454"/>
      <c r="AA13" s="2454"/>
      <c r="AB13" s="2454"/>
      <c r="AC13" s="2454"/>
      <c r="AD13" s="2454"/>
      <c r="AE13" s="2454"/>
      <c r="AF13" s="2454"/>
      <c r="AG13" s="2454"/>
      <c r="AH13" s="2454"/>
      <c r="AI13" s="2454"/>
      <c r="AJ13" s="2455"/>
      <c r="AK13" s="540"/>
      <c r="AL13" s="540"/>
      <c r="AM13" s="540"/>
      <c r="AN13" s="535"/>
      <c r="AO13" s="557"/>
    </row>
    <row r="14" spans="1:41" s="536" customFormat="1" ht="12.75" customHeight="1">
      <c r="A14" s="540"/>
      <c r="D14" s="540"/>
      <c r="E14" s="2427"/>
      <c r="F14" s="2428"/>
      <c r="G14" s="2428"/>
      <c r="H14" s="2428"/>
      <c r="I14" s="2428"/>
      <c r="J14" s="2428"/>
      <c r="K14" s="2428"/>
      <c r="L14" s="2428"/>
      <c r="M14" s="2428"/>
      <c r="N14" s="2428"/>
      <c r="O14" s="2428"/>
      <c r="P14" s="2428"/>
      <c r="Q14" s="2428"/>
      <c r="R14" s="2428"/>
      <c r="S14" s="2428"/>
      <c r="T14" s="2428"/>
      <c r="U14" s="2428"/>
      <c r="V14" s="2428"/>
      <c r="W14" s="2428"/>
      <c r="X14" s="2428"/>
      <c r="Y14" s="2428"/>
      <c r="Z14" s="2428"/>
      <c r="AA14" s="2428"/>
      <c r="AB14" s="2428"/>
      <c r="AC14" s="2428"/>
      <c r="AD14" s="2428"/>
      <c r="AE14" s="2428"/>
      <c r="AF14" s="2428"/>
      <c r="AG14" s="2428"/>
      <c r="AH14" s="2428"/>
      <c r="AI14" s="2428"/>
      <c r="AJ14" s="242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408" t="s">
        <v>591</v>
      </c>
      <c r="C16" s="2408"/>
      <c r="D16" s="540"/>
      <c r="E16" s="2424" t="s">
        <v>2549</v>
      </c>
      <c r="F16" s="2425"/>
      <c r="G16" s="2425"/>
      <c r="H16" s="2425"/>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6"/>
      <c r="AK16" s="540"/>
      <c r="AL16" s="540"/>
      <c r="AM16" s="540"/>
      <c r="AN16" s="535"/>
    </row>
    <row r="17" spans="1:50" s="536" customFormat="1" ht="12.75" customHeight="1">
      <c r="A17" s="540"/>
      <c r="B17" s="540"/>
      <c r="C17" s="540"/>
      <c r="D17" s="540"/>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540"/>
      <c r="AL17" s="540"/>
      <c r="AM17" s="540"/>
      <c r="AN17" s="535"/>
    </row>
    <row r="18" spans="1:50" s="536" customFormat="1" ht="12.75" customHeight="1">
      <c r="A18" s="540"/>
      <c r="B18" s="540"/>
      <c r="C18" s="1135"/>
      <c r="D18" s="540"/>
      <c r="E18" s="2427"/>
      <c r="F18" s="2428"/>
      <c r="G18" s="2428"/>
      <c r="H18" s="2428"/>
      <c r="I18" s="2428"/>
      <c r="J18" s="2428"/>
      <c r="K18" s="2428"/>
      <c r="L18" s="2428"/>
      <c r="M18" s="2428"/>
      <c r="N18" s="2428"/>
      <c r="O18" s="2428"/>
      <c r="P18" s="2428"/>
      <c r="Q18" s="2428"/>
      <c r="R18" s="2428"/>
      <c r="S18" s="2428"/>
      <c r="T18" s="2428"/>
      <c r="U18" s="2428"/>
      <c r="V18" s="2428"/>
      <c r="W18" s="2428"/>
      <c r="X18" s="2428"/>
      <c r="Y18" s="2428"/>
      <c r="Z18" s="2428"/>
      <c r="AA18" s="2428"/>
      <c r="AB18" s="2428"/>
      <c r="AC18" s="2428"/>
      <c r="AD18" s="2428"/>
      <c r="AE18" s="2428"/>
      <c r="AF18" s="2428"/>
      <c r="AG18" s="2428"/>
      <c r="AH18" s="2428"/>
      <c r="AI18" s="2428"/>
      <c r="AJ18" s="242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408" t="s">
        <v>591</v>
      </c>
      <c r="C20" s="2408"/>
      <c r="D20" s="540"/>
      <c r="E20" s="2424" t="s">
        <v>1978</v>
      </c>
      <c r="F20" s="2425"/>
      <c r="G20" s="2425"/>
      <c r="H20" s="2425"/>
      <c r="I20" s="2425"/>
      <c r="J20" s="2425"/>
      <c r="K20" s="2425"/>
      <c r="L20" s="2425"/>
      <c r="M20" s="2425"/>
      <c r="N20" s="2425"/>
      <c r="O20" s="2425"/>
      <c r="P20" s="2425"/>
      <c r="Q20" s="2425"/>
      <c r="R20" s="2425"/>
      <c r="S20" s="2425"/>
      <c r="T20" s="2425"/>
      <c r="U20" s="2425"/>
      <c r="V20" s="2425"/>
      <c r="W20" s="2425"/>
      <c r="X20" s="2425"/>
      <c r="Y20" s="2425"/>
      <c r="Z20" s="2425"/>
      <c r="AA20" s="2425"/>
      <c r="AB20" s="2425"/>
      <c r="AC20" s="2425"/>
      <c r="AD20" s="2425"/>
      <c r="AE20" s="2425"/>
      <c r="AF20" s="2425"/>
      <c r="AG20" s="2425"/>
      <c r="AH20" s="2425"/>
      <c r="AI20" s="2425"/>
      <c r="AJ20" s="2426"/>
      <c r="AK20" s="540"/>
      <c r="AL20" s="540"/>
      <c r="AM20" s="540"/>
      <c r="AN20" s="535"/>
    </row>
    <row r="21" spans="1:50" s="536" customFormat="1" ht="12.75" customHeight="1">
      <c r="A21" s="540"/>
      <c r="B21" s="546"/>
      <c r="C21" s="546"/>
      <c r="D21" s="546"/>
      <c r="E21" s="2427"/>
      <c r="F21" s="2428"/>
      <c r="G21" s="2428"/>
      <c r="H21" s="2428"/>
      <c r="I21" s="2428"/>
      <c r="J21" s="2428"/>
      <c r="K21" s="2428"/>
      <c r="L21" s="2428"/>
      <c r="M21" s="2428"/>
      <c r="N21" s="2428"/>
      <c r="O21" s="2428"/>
      <c r="P21" s="2428"/>
      <c r="Q21" s="2428"/>
      <c r="R21" s="2428"/>
      <c r="S21" s="2428"/>
      <c r="T21" s="2428"/>
      <c r="U21" s="2428"/>
      <c r="V21" s="2428"/>
      <c r="W21" s="2428"/>
      <c r="X21" s="2428"/>
      <c r="Y21" s="2428"/>
      <c r="Z21" s="2428"/>
      <c r="AA21" s="2428"/>
      <c r="AB21" s="2428"/>
      <c r="AC21" s="2428"/>
      <c r="AD21" s="2428"/>
      <c r="AE21" s="2428"/>
      <c r="AF21" s="2428"/>
      <c r="AG21" s="2428"/>
      <c r="AH21" s="2428"/>
      <c r="AI21" s="2428"/>
      <c r="AJ21" s="2429"/>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408" t="s">
        <v>591</v>
      </c>
      <c r="C26" s="240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45"/>
      <c r="AH26" s="2445"/>
      <c r="AI26" s="2445"/>
      <c r="AJ26" s="2446"/>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408" t="s">
        <v>591</v>
      </c>
      <c r="C30" s="2408"/>
      <c r="D30" s="546"/>
      <c r="E30" s="2409" t="s">
        <v>2638</v>
      </c>
      <c r="F30" s="2410"/>
      <c r="G30" s="2410"/>
      <c r="H30" s="2410"/>
      <c r="I30" s="2410"/>
      <c r="J30" s="2410"/>
      <c r="K30" s="2410"/>
      <c r="L30" s="2410"/>
      <c r="M30" s="2410"/>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1"/>
      <c r="AK30" s="540"/>
      <c r="AL30" s="540"/>
      <c r="AM30" s="540"/>
      <c r="AN30" s="535"/>
      <c r="AO30" s="549">
        <f>IF($B30="yes",9,0)</f>
        <v>0</v>
      </c>
    </row>
    <row r="31" spans="1:50" s="536" customFormat="1" ht="12.75" customHeight="1">
      <c r="A31" s="540"/>
      <c r="B31" s="540"/>
      <c r="C31" s="540"/>
      <c r="E31" s="2412"/>
      <c r="F31" s="2413"/>
      <c r="G31" s="2413"/>
      <c r="H31" s="2413"/>
      <c r="I31" s="2413"/>
      <c r="J31" s="2413"/>
      <c r="K31" s="2413"/>
      <c r="L31" s="2413"/>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408" t="s">
        <v>591</v>
      </c>
      <c r="C33" s="2408"/>
      <c r="D33" s="546"/>
      <c r="E33" s="2409" t="s">
        <v>2555</v>
      </c>
      <c r="F33" s="2410"/>
      <c r="G33" s="2410"/>
      <c r="H33" s="2410"/>
      <c r="I33" s="2410"/>
      <c r="J33" s="2410"/>
      <c r="K33" s="2410"/>
      <c r="L33" s="2410"/>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1"/>
      <c r="AK33" s="540"/>
      <c r="AL33" s="540"/>
      <c r="AM33" s="540"/>
      <c r="AN33" s="535"/>
      <c r="AO33" s="549">
        <f>IF($B39="yes",9,0)</f>
        <v>0</v>
      </c>
    </row>
    <row r="34" spans="1:43" s="536" customFormat="1" ht="12.75" customHeight="1">
      <c r="A34" s="540"/>
      <c r="B34" s="540"/>
      <c r="C34" s="540"/>
      <c r="D34" s="546"/>
      <c r="E34" s="2450"/>
      <c r="F34" s="2451"/>
      <c r="G34" s="2451"/>
      <c r="H34" s="2451"/>
      <c r="I34" s="2451"/>
      <c r="J34" s="2451"/>
      <c r="K34" s="2451"/>
      <c r="L34" s="2451"/>
      <c r="M34" s="2451"/>
      <c r="N34" s="2451"/>
      <c r="O34" s="2451"/>
      <c r="P34" s="2451"/>
      <c r="Q34" s="2451"/>
      <c r="R34" s="2451"/>
      <c r="S34" s="2451"/>
      <c r="T34" s="2451"/>
      <c r="U34" s="2451"/>
      <c r="V34" s="2451"/>
      <c r="W34" s="2451"/>
      <c r="X34" s="2451"/>
      <c r="Y34" s="2451"/>
      <c r="Z34" s="2451"/>
      <c r="AA34" s="2451"/>
      <c r="AB34" s="2451"/>
      <c r="AC34" s="2451"/>
      <c r="AD34" s="2451"/>
      <c r="AE34" s="2451"/>
      <c r="AF34" s="2451"/>
      <c r="AG34" s="2451"/>
      <c r="AH34" s="2451"/>
      <c r="AI34" s="2451"/>
      <c r="AJ34" s="2452"/>
      <c r="AK34" s="540"/>
      <c r="AL34" s="540"/>
      <c r="AM34" s="540"/>
      <c r="AN34" s="535"/>
      <c r="AO34" s="536">
        <f>MAX(AO30,AO31,AO32,AO33)</f>
        <v>0</v>
      </c>
      <c r="AP34" s="536" t="s">
        <v>1304</v>
      </c>
    </row>
    <row r="35" spans="1:43" s="536" customFormat="1" ht="12.75" customHeight="1">
      <c r="A35" s="540"/>
      <c r="B35" s="540"/>
      <c r="C35" s="540"/>
      <c r="E35" s="2412"/>
      <c r="F35" s="2413"/>
      <c r="G35" s="2413"/>
      <c r="H35" s="2413"/>
      <c r="I35" s="2413"/>
      <c r="J35" s="2413"/>
      <c r="K35" s="2413"/>
      <c r="L35" s="2413"/>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408" t="s">
        <v>591</v>
      </c>
      <c r="C37" s="2408"/>
      <c r="D37" s="1136"/>
      <c r="E37" s="2415" t="s">
        <v>2557</v>
      </c>
      <c r="F37" s="2416"/>
      <c r="G37" s="2416"/>
      <c r="H37" s="2416"/>
      <c r="I37" s="2416"/>
      <c r="J37" s="2416"/>
      <c r="K37" s="2416"/>
      <c r="L37" s="2416"/>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7"/>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408" t="s">
        <v>591</v>
      </c>
      <c r="C39" s="2408"/>
      <c r="D39" s="1136"/>
      <c r="E39" s="2415" t="s">
        <v>2556</v>
      </c>
      <c r="F39" s="2416"/>
      <c r="G39" s="2416"/>
      <c r="H39" s="2416"/>
      <c r="I39" s="2416"/>
      <c r="J39" s="2416"/>
      <c r="K39" s="2416"/>
      <c r="L39" s="2416"/>
      <c r="M39" s="2416"/>
      <c r="N39" s="2416"/>
      <c r="O39" s="2416"/>
      <c r="P39" s="2416"/>
      <c r="Q39" s="2416"/>
      <c r="R39" s="2416"/>
      <c r="S39" s="2416"/>
      <c r="T39" s="2416"/>
      <c r="U39" s="2416"/>
      <c r="V39" s="2416"/>
      <c r="W39" s="2416"/>
      <c r="X39" s="2416"/>
      <c r="Y39" s="2416"/>
      <c r="Z39" s="2416"/>
      <c r="AA39" s="2416"/>
      <c r="AB39" s="2416"/>
      <c r="AC39" s="2416"/>
      <c r="AD39" s="2416"/>
      <c r="AE39" s="2416"/>
      <c r="AF39" s="2416"/>
      <c r="AG39" s="2416"/>
      <c r="AH39" s="2416"/>
      <c r="AI39" s="2416"/>
      <c r="AJ39" s="2417"/>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408" t="s">
        <v>591</v>
      </c>
      <c r="C43" s="2408"/>
      <c r="D43" s="546"/>
      <c r="E43" s="2418" t="s">
        <v>2639</v>
      </c>
      <c r="F43" s="2419"/>
      <c r="G43" s="2419"/>
      <c r="H43" s="2419"/>
      <c r="I43" s="2419"/>
      <c r="J43" s="2419"/>
      <c r="K43" s="2419"/>
      <c r="L43" s="2419"/>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20"/>
      <c r="AK43" s="540"/>
      <c r="AL43" s="540"/>
      <c r="AM43" s="540"/>
      <c r="AN43" s="535"/>
      <c r="AO43" s="549">
        <f>IF($B43="yes",8,0)</f>
        <v>0</v>
      </c>
      <c r="AP43" s="14"/>
    </row>
    <row r="44" spans="1:43" s="536" customFormat="1" ht="12.75" customHeight="1">
      <c r="A44" s="540"/>
      <c r="B44" s="540"/>
      <c r="C44" s="540"/>
      <c r="D44" s="550"/>
      <c r="E44" s="2421"/>
      <c r="F44" s="2422"/>
      <c r="G44" s="2422"/>
      <c r="H44" s="2422"/>
      <c r="I44" s="2422"/>
      <c r="J44" s="2422"/>
      <c r="K44" s="2422"/>
      <c r="L44" s="2422"/>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408" t="s">
        <v>591</v>
      </c>
      <c r="C46" s="2408"/>
      <c r="D46" s="546"/>
      <c r="E46" s="2409" t="s">
        <v>2640</v>
      </c>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c r="AO46" s="549">
        <f>IF($B52="yes",8,0)</f>
        <v>0</v>
      </c>
    </row>
    <row r="47" spans="1:43" s="536" customFormat="1" ht="12.75" customHeight="1">
      <c r="A47" s="540"/>
      <c r="B47" s="540"/>
      <c r="C47" s="540"/>
      <c r="D47" s="549"/>
      <c r="E47" s="2412"/>
      <c r="F47" s="2413"/>
      <c r="G47" s="2413"/>
      <c r="H47" s="2413"/>
      <c r="I47" s="2413"/>
      <c r="J47" s="2413"/>
      <c r="K47" s="2413"/>
      <c r="L47" s="2413"/>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408" t="s">
        <v>591</v>
      </c>
      <c r="C49" s="2408"/>
      <c r="D49" s="546"/>
      <c r="E49" s="2424" t="s">
        <v>2641</v>
      </c>
      <c r="F49" s="2425"/>
      <c r="G49" s="2425"/>
      <c r="H49" s="2425"/>
      <c r="I49" s="2425"/>
      <c r="J49" s="2425"/>
      <c r="K49" s="2425"/>
      <c r="L49" s="2425"/>
      <c r="M49" s="2425"/>
      <c r="N49" s="2425"/>
      <c r="O49" s="2425"/>
      <c r="P49" s="2425"/>
      <c r="Q49" s="2425"/>
      <c r="R49" s="2425"/>
      <c r="S49" s="2425"/>
      <c r="T49" s="2425"/>
      <c r="U49" s="2425"/>
      <c r="V49" s="2425"/>
      <c r="W49" s="2425"/>
      <c r="X49" s="2425"/>
      <c r="Y49" s="2425"/>
      <c r="Z49" s="2425"/>
      <c r="AA49" s="2425"/>
      <c r="AB49" s="2425"/>
      <c r="AC49" s="2425"/>
      <c r="AD49" s="2425"/>
      <c r="AE49" s="2425"/>
      <c r="AF49" s="2425"/>
      <c r="AG49" s="2425"/>
      <c r="AH49" s="2425"/>
      <c r="AI49" s="2425"/>
      <c r="AJ49" s="2426"/>
      <c r="AK49" s="540"/>
      <c r="AL49" s="540"/>
      <c r="AM49" s="540"/>
      <c r="AN49" s="535"/>
      <c r="AO49" s="549"/>
    </row>
    <row r="50" spans="1:42" s="536" customFormat="1" ht="12.75" customHeight="1">
      <c r="A50" s="540"/>
      <c r="B50" s="540"/>
      <c r="C50" s="540"/>
      <c r="D50" s="549"/>
      <c r="E50" s="2427"/>
      <c r="F50" s="2428"/>
      <c r="G50" s="2428"/>
      <c r="H50" s="2428"/>
      <c r="I50" s="2428"/>
      <c r="J50" s="2428"/>
      <c r="K50" s="2428"/>
      <c r="L50" s="2428"/>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408" t="s">
        <v>591</v>
      </c>
      <c r="C52" s="2408"/>
      <c r="D52" s="546"/>
      <c r="E52" s="2415" t="s">
        <v>2642</v>
      </c>
      <c r="F52" s="2416"/>
      <c r="G52" s="2416"/>
      <c r="H52" s="2416"/>
      <c r="I52" s="2416"/>
      <c r="J52" s="2416"/>
      <c r="K52" s="2416"/>
      <c r="L52" s="2416"/>
      <c r="M52" s="2416"/>
      <c r="N52" s="2416"/>
      <c r="O52" s="2416"/>
      <c r="P52" s="2416"/>
      <c r="Q52" s="2416"/>
      <c r="R52" s="2416"/>
      <c r="S52" s="2416"/>
      <c r="T52" s="2416"/>
      <c r="U52" s="2416"/>
      <c r="V52" s="2416"/>
      <c r="W52" s="2416"/>
      <c r="X52" s="2416"/>
      <c r="Y52" s="2416"/>
      <c r="Z52" s="2416"/>
      <c r="AA52" s="2416"/>
      <c r="AB52" s="2416"/>
      <c r="AC52" s="2416"/>
      <c r="AD52" s="2416"/>
      <c r="AE52" s="2416"/>
      <c r="AF52" s="2416"/>
      <c r="AG52" s="2416"/>
      <c r="AH52" s="2416"/>
      <c r="AI52" s="2416"/>
      <c r="AJ52" s="241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408" t="s">
        <v>591</v>
      </c>
      <c r="C56" s="2408"/>
      <c r="D56" s="546"/>
      <c r="E56" s="2424" t="s">
        <v>2558</v>
      </c>
      <c r="F56" s="2425"/>
      <c r="G56" s="2425"/>
      <c r="H56" s="2425"/>
      <c r="I56" s="2425"/>
      <c r="J56" s="2425"/>
      <c r="K56" s="2425"/>
      <c r="L56" s="2425"/>
      <c r="M56" s="2425"/>
      <c r="N56" s="2425"/>
      <c r="O56" s="2425"/>
      <c r="P56" s="2425"/>
      <c r="Q56" s="2425"/>
      <c r="R56" s="2425"/>
      <c r="S56" s="2425"/>
      <c r="T56" s="2425"/>
      <c r="U56" s="2425"/>
      <c r="V56" s="2425"/>
      <c r="W56" s="2425"/>
      <c r="X56" s="2425"/>
      <c r="Y56" s="2425"/>
      <c r="Z56" s="2425"/>
      <c r="AA56" s="2425"/>
      <c r="AB56" s="2425"/>
      <c r="AC56" s="2425"/>
      <c r="AD56" s="2425"/>
      <c r="AE56" s="2425"/>
      <c r="AF56" s="2425"/>
      <c r="AG56" s="2425"/>
      <c r="AH56" s="2425"/>
      <c r="AI56" s="2425"/>
      <c r="AJ56" s="2426"/>
      <c r="AK56" s="540"/>
      <c r="AL56" s="540"/>
      <c r="AM56" s="540"/>
      <c r="AN56" s="535"/>
      <c r="AO56" s="549">
        <f>IF($B59="yes",7,0)</f>
        <v>0</v>
      </c>
    </row>
    <row r="57" spans="1:42" s="536" customFormat="1" ht="12.75" customHeight="1">
      <c r="A57" s="540"/>
      <c r="B57" s="540"/>
      <c r="C57" s="540"/>
      <c r="D57" s="549"/>
      <c r="E57" s="2427"/>
      <c r="F57" s="2428"/>
      <c r="G57" s="2428"/>
      <c r="H57" s="2428"/>
      <c r="I57" s="2428"/>
      <c r="J57" s="2428"/>
      <c r="K57" s="2428"/>
      <c r="L57" s="2428"/>
      <c r="M57" s="2428"/>
      <c r="N57" s="2428"/>
      <c r="O57" s="2428"/>
      <c r="P57" s="2428"/>
      <c r="Q57" s="2428"/>
      <c r="R57" s="2428"/>
      <c r="S57" s="2428"/>
      <c r="T57" s="2428"/>
      <c r="U57" s="2428"/>
      <c r="V57" s="2428"/>
      <c r="W57" s="2428"/>
      <c r="X57" s="2428"/>
      <c r="Y57" s="2428"/>
      <c r="Z57" s="2428"/>
      <c r="AA57" s="2428"/>
      <c r="AB57" s="2428"/>
      <c r="AC57" s="2428"/>
      <c r="AD57" s="2428"/>
      <c r="AE57" s="2428"/>
      <c r="AF57" s="2428"/>
      <c r="AG57" s="2428"/>
      <c r="AH57" s="2428"/>
      <c r="AI57" s="2428"/>
      <c r="AJ57" s="242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408" t="s">
        <v>591</v>
      </c>
      <c r="C59" s="2408"/>
      <c r="D59" s="546"/>
      <c r="E59" s="2415" t="s">
        <v>2559</v>
      </c>
      <c r="F59" s="2416"/>
      <c r="G59" s="2416"/>
      <c r="H59" s="2416"/>
      <c r="I59" s="2416"/>
      <c r="J59" s="2416"/>
      <c r="K59" s="2416"/>
      <c r="L59" s="2416"/>
      <c r="M59" s="2416"/>
      <c r="N59" s="2416"/>
      <c r="O59" s="2416"/>
      <c r="P59" s="2416"/>
      <c r="Q59" s="2416"/>
      <c r="R59" s="2416"/>
      <c r="S59" s="2416"/>
      <c r="T59" s="2416"/>
      <c r="U59" s="2416"/>
      <c r="V59" s="2416"/>
      <c r="W59" s="2416"/>
      <c r="X59" s="2416"/>
      <c r="Y59" s="2416"/>
      <c r="Z59" s="2416"/>
      <c r="AA59" s="2416"/>
      <c r="AB59" s="2416"/>
      <c r="AC59" s="2416"/>
      <c r="AD59" s="2416"/>
      <c r="AE59" s="2416"/>
      <c r="AF59" s="2416"/>
      <c r="AG59" s="2416"/>
      <c r="AH59" s="2416"/>
      <c r="AI59" s="2416"/>
      <c r="AJ59" s="241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447">
        <f>AO60</f>
        <v>0</v>
      </c>
      <c r="AL61" s="2448"/>
      <c r="AM61" s="2449"/>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36" t="s">
        <v>1307</v>
      </c>
      <c r="AF64" s="2436"/>
      <c r="AG64" s="2436"/>
      <c r="AH64" s="2436"/>
      <c r="AI64" s="2436"/>
      <c r="AJ64" s="2436"/>
      <c r="AK64" s="243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408" t="s">
        <v>545</v>
      </c>
      <c r="C67" s="2408"/>
      <c r="D67" s="546" t="s">
        <v>1308</v>
      </c>
      <c r="E67" s="2418" t="s">
        <v>1979</v>
      </c>
      <c r="F67" s="2419"/>
      <c r="G67" s="2419"/>
      <c r="H67" s="2419"/>
      <c r="I67" s="2419"/>
      <c r="J67" s="2419"/>
      <c r="K67" s="2419"/>
      <c r="L67" s="2419"/>
      <c r="M67" s="2419"/>
      <c r="N67" s="2419"/>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20"/>
      <c r="AK67" s="543"/>
      <c r="AL67" s="540"/>
      <c r="AM67" s="540"/>
      <c r="AN67" s="535"/>
      <c r="AO67" s="549">
        <f>IF($B67="yes",10,0)</f>
        <v>10</v>
      </c>
    </row>
    <row r="68" spans="1:42" s="536" customFormat="1" ht="12.75" customHeight="1">
      <c r="A68" s="538"/>
      <c r="B68" s="540"/>
      <c r="C68" s="540"/>
      <c r="D68" s="550"/>
      <c r="E68" s="2437"/>
      <c r="F68" s="2438"/>
      <c r="G68" s="2438"/>
      <c r="H68" s="2438"/>
      <c r="I68" s="2438"/>
      <c r="J68" s="2438"/>
      <c r="K68" s="2438"/>
      <c r="L68" s="2438"/>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9"/>
      <c r="AK68" s="543"/>
      <c r="AL68" s="540"/>
      <c r="AM68" s="540"/>
      <c r="AN68" s="535"/>
      <c r="AO68" s="549">
        <f>IF(AND($B73="yes",OR(E74="Yes",E75="Yes",E76="Yes")),10,0)</f>
        <v>0</v>
      </c>
    </row>
    <row r="69" spans="1:42" s="536" customFormat="1" ht="12.75" customHeight="1">
      <c r="A69" s="538"/>
      <c r="B69" s="540"/>
      <c r="C69" s="540"/>
      <c r="D69" s="550"/>
      <c r="E69" s="2437"/>
      <c r="F69" s="2438"/>
      <c r="G69" s="2438"/>
      <c r="H69" s="2438"/>
      <c r="I69" s="2438"/>
      <c r="J69" s="2438"/>
      <c r="K69" s="2438"/>
      <c r="L69" s="2438"/>
      <c r="M69" s="2438"/>
      <c r="N69" s="2438"/>
      <c r="O69" s="2438"/>
      <c r="P69" s="2438"/>
      <c r="Q69" s="2438"/>
      <c r="R69" s="2438"/>
      <c r="S69" s="2438"/>
      <c r="T69" s="2438"/>
      <c r="U69" s="2438"/>
      <c r="V69" s="2438"/>
      <c r="W69" s="2438"/>
      <c r="X69" s="2438"/>
      <c r="Y69" s="2438"/>
      <c r="Z69" s="2438"/>
      <c r="AA69" s="2438"/>
      <c r="AB69" s="2438"/>
      <c r="AC69" s="2438"/>
      <c r="AD69" s="2438"/>
      <c r="AE69" s="2438"/>
      <c r="AF69" s="2438"/>
      <c r="AG69" s="2438"/>
      <c r="AH69" s="2438"/>
      <c r="AI69" s="2438"/>
      <c r="AJ69" s="2439"/>
      <c r="AK69" s="543"/>
      <c r="AL69" s="540"/>
      <c r="AM69" s="540"/>
      <c r="AN69" s="535"/>
      <c r="AO69" s="549">
        <f>IF($B78="yes",10,0)</f>
        <v>0</v>
      </c>
    </row>
    <row r="70" spans="1:42" s="536" customFormat="1" ht="12.75" customHeight="1">
      <c r="A70" s="538"/>
      <c r="B70" s="540"/>
      <c r="C70" s="540"/>
      <c r="D70" s="550"/>
      <c r="E70" s="2437"/>
      <c r="F70" s="2438"/>
      <c r="G70" s="2438"/>
      <c r="H70" s="2438"/>
      <c r="I70" s="2438"/>
      <c r="J70" s="2438"/>
      <c r="K70" s="2438"/>
      <c r="L70" s="2438"/>
      <c r="M70" s="2438"/>
      <c r="N70" s="2438"/>
      <c r="O70" s="2438"/>
      <c r="P70" s="2438"/>
      <c r="Q70" s="2438"/>
      <c r="R70" s="2438"/>
      <c r="S70" s="2438"/>
      <c r="T70" s="2438"/>
      <c r="U70" s="2438"/>
      <c r="V70" s="2438"/>
      <c r="W70" s="2438"/>
      <c r="X70" s="2438"/>
      <c r="Y70" s="2438"/>
      <c r="Z70" s="2438"/>
      <c r="AA70" s="2438"/>
      <c r="AB70" s="2438"/>
      <c r="AC70" s="2438"/>
      <c r="AD70" s="2438"/>
      <c r="AE70" s="2438"/>
      <c r="AF70" s="2438"/>
      <c r="AG70" s="2438"/>
      <c r="AH70" s="2438"/>
      <c r="AI70" s="2438"/>
      <c r="AJ70" s="2439"/>
      <c r="AK70" s="543"/>
      <c r="AL70" s="540"/>
      <c r="AM70" s="540"/>
      <c r="AN70" s="535"/>
      <c r="AO70" s="549">
        <f>IF($B81="yes",10,0)</f>
        <v>0</v>
      </c>
    </row>
    <row r="71" spans="1:42" s="536" customFormat="1" ht="12.75" customHeight="1">
      <c r="A71" s="538"/>
      <c r="B71" s="540"/>
      <c r="C71" s="540"/>
      <c r="D71" s="550"/>
      <c r="E71" s="2421"/>
      <c r="F71" s="2422"/>
      <c r="G71" s="2422"/>
      <c r="H71" s="2422"/>
      <c r="I71" s="2422"/>
      <c r="J71" s="2422"/>
      <c r="K71" s="2422"/>
      <c r="L71" s="2422"/>
      <c r="M71" s="2422"/>
      <c r="N71" s="2422"/>
      <c r="O71" s="2422"/>
      <c r="P71" s="2422"/>
      <c r="Q71" s="2422"/>
      <c r="R71" s="2422"/>
      <c r="S71" s="2422"/>
      <c r="T71" s="2422"/>
      <c r="U71" s="2422"/>
      <c r="V71" s="2422"/>
      <c r="W71" s="2422"/>
      <c r="X71" s="2422"/>
      <c r="Y71" s="2422"/>
      <c r="Z71" s="2422"/>
      <c r="AA71" s="2422"/>
      <c r="AB71" s="2422"/>
      <c r="AC71" s="2422"/>
      <c r="AD71" s="2422"/>
      <c r="AE71" s="2422"/>
      <c r="AF71" s="2422"/>
      <c r="AG71" s="2422"/>
      <c r="AH71" s="2422"/>
      <c r="AI71" s="2422"/>
      <c r="AJ71" s="2423"/>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408" t="s">
        <v>591</v>
      </c>
      <c r="C73" s="240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40" t="s">
        <v>591</v>
      </c>
      <c r="F74" s="240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34" t="s">
        <v>591</v>
      </c>
      <c r="F75" s="243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34" t="s">
        <v>591</v>
      </c>
      <c r="F76" s="2435"/>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408" t="s">
        <v>591</v>
      </c>
      <c r="C78" s="2408"/>
      <c r="D78" s="546" t="s">
        <v>1313</v>
      </c>
      <c r="E78" s="2424" t="s">
        <v>1727</v>
      </c>
      <c r="F78" s="2425"/>
      <c r="G78" s="2425"/>
      <c r="H78" s="2425"/>
      <c r="I78" s="2425"/>
      <c r="J78" s="2425"/>
      <c r="K78" s="2425"/>
      <c r="L78" s="2425"/>
      <c r="M78" s="2425"/>
      <c r="N78" s="2425"/>
      <c r="O78" s="2425"/>
      <c r="P78" s="2425"/>
      <c r="Q78" s="2425"/>
      <c r="R78" s="2425"/>
      <c r="S78" s="2425"/>
      <c r="T78" s="2425"/>
      <c r="U78" s="2425"/>
      <c r="V78" s="2425"/>
      <c r="W78" s="2425"/>
      <c r="X78" s="2425"/>
      <c r="Y78" s="2425"/>
      <c r="Z78" s="2425"/>
      <c r="AA78" s="2425"/>
      <c r="AB78" s="2425"/>
      <c r="AC78" s="2425"/>
      <c r="AD78" s="2425"/>
      <c r="AE78" s="2425"/>
      <c r="AF78" s="2425"/>
      <c r="AG78" s="2425"/>
      <c r="AH78" s="2425"/>
      <c r="AI78" s="2425"/>
      <c r="AJ78" s="2426"/>
      <c r="AK78" s="543"/>
      <c r="AL78" s="540"/>
      <c r="AM78" s="540"/>
      <c r="AN78" s="535"/>
    </row>
    <row r="79" spans="1:42" s="536" customFormat="1" ht="12.75" customHeight="1">
      <c r="A79" s="538"/>
      <c r="B79" s="540"/>
      <c r="C79" s="540"/>
      <c r="E79" s="2427"/>
      <c r="F79" s="2428"/>
      <c r="G79" s="2428"/>
      <c r="H79" s="2428"/>
      <c r="I79" s="2428"/>
      <c r="J79" s="2428"/>
      <c r="K79" s="2428"/>
      <c r="L79" s="2428"/>
      <c r="M79" s="2428"/>
      <c r="N79" s="2428"/>
      <c r="O79" s="2428"/>
      <c r="P79" s="2428"/>
      <c r="Q79" s="2428"/>
      <c r="R79" s="2428"/>
      <c r="S79" s="2428"/>
      <c r="T79" s="2428"/>
      <c r="U79" s="2428"/>
      <c r="V79" s="2428"/>
      <c r="W79" s="2428"/>
      <c r="X79" s="2428"/>
      <c r="Y79" s="2428"/>
      <c r="Z79" s="2428"/>
      <c r="AA79" s="2428"/>
      <c r="AB79" s="2428"/>
      <c r="AC79" s="2428"/>
      <c r="AD79" s="2428"/>
      <c r="AE79" s="2428"/>
      <c r="AF79" s="2428"/>
      <c r="AG79" s="2428"/>
      <c r="AH79" s="2428"/>
      <c r="AI79" s="2428"/>
      <c r="AJ79" s="242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408" t="s">
        <v>591</v>
      </c>
      <c r="C81" s="2408"/>
      <c r="D81" s="546" t="s">
        <v>1460</v>
      </c>
      <c r="E81" s="2415" t="s">
        <v>1725</v>
      </c>
      <c r="F81" s="2416"/>
      <c r="G81" s="2416"/>
      <c r="H81" s="2416"/>
      <c r="I81" s="2416"/>
      <c r="J81" s="2416"/>
      <c r="K81" s="2416"/>
      <c r="L81" s="2416"/>
      <c r="M81" s="2416"/>
      <c r="N81" s="2416"/>
      <c r="O81" s="2416"/>
      <c r="P81" s="2416"/>
      <c r="Q81" s="2416"/>
      <c r="R81" s="2416"/>
      <c r="S81" s="2416"/>
      <c r="T81" s="2416"/>
      <c r="U81" s="2416"/>
      <c r="V81" s="2416"/>
      <c r="W81" s="2416"/>
      <c r="X81" s="2416"/>
      <c r="Y81" s="2416"/>
      <c r="Z81" s="2416"/>
      <c r="AA81" s="2416"/>
      <c r="AB81" s="2416"/>
      <c r="AC81" s="2416"/>
      <c r="AD81" s="2416"/>
      <c r="AE81" s="2416"/>
      <c r="AF81" s="2416"/>
      <c r="AG81" s="2416"/>
      <c r="AH81" s="2416"/>
      <c r="AI81" s="2416"/>
      <c r="AJ81" s="241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47">
        <f>IF(AK61&gt;0,0,AO71)</f>
        <v>10</v>
      </c>
      <c r="AL83" s="2448"/>
      <c r="AM83" s="2449"/>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36" t="s">
        <v>1302</v>
      </c>
      <c r="AF86" s="2436"/>
      <c r="AG86" s="2436"/>
      <c r="AH86" s="2436"/>
      <c r="AI86" s="2436"/>
      <c r="AJ86" s="2436"/>
      <c r="AK86" s="243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408" t="s">
        <v>591</v>
      </c>
      <c r="C89" s="2408"/>
      <c r="D89" s="546" t="s">
        <v>1308</v>
      </c>
      <c r="E89" s="2418" t="s">
        <v>1318</v>
      </c>
      <c r="F89" s="2419"/>
      <c r="G89" s="2419"/>
      <c r="H89" s="2419"/>
      <c r="I89" s="2419"/>
      <c r="J89" s="2419"/>
      <c r="K89" s="2419"/>
      <c r="L89" s="2419"/>
      <c r="M89" s="2419"/>
      <c r="N89" s="2419"/>
      <c r="O89" s="2419"/>
      <c r="P89" s="2419"/>
      <c r="Q89" s="2419"/>
      <c r="R89" s="2419"/>
      <c r="S89" s="2419"/>
      <c r="T89" s="2419"/>
      <c r="U89" s="2419"/>
      <c r="V89" s="2419"/>
      <c r="W89" s="2419"/>
      <c r="X89" s="2419"/>
      <c r="Y89" s="2419"/>
      <c r="Z89" s="2419"/>
      <c r="AA89" s="2419"/>
      <c r="AB89" s="2419"/>
      <c r="AC89" s="2419"/>
      <c r="AD89" s="2419"/>
      <c r="AE89" s="2419"/>
      <c r="AF89" s="2419"/>
      <c r="AG89" s="2419"/>
      <c r="AH89" s="2419"/>
      <c r="AI89" s="2419"/>
      <c r="AJ89" s="2420"/>
      <c r="AK89" s="543"/>
      <c r="AL89" s="540"/>
      <c r="AM89" s="540"/>
      <c r="AN89" s="535"/>
    </row>
    <row r="90" spans="1:43" s="536" customFormat="1" ht="12.75" customHeight="1">
      <c r="A90" s="538"/>
      <c r="B90" s="539"/>
      <c r="C90" s="539"/>
      <c r="D90" s="539"/>
      <c r="E90" s="2437"/>
      <c r="F90" s="2438"/>
      <c r="G90" s="2438"/>
      <c r="H90" s="2438"/>
      <c r="I90" s="2438"/>
      <c r="J90" s="2438"/>
      <c r="K90" s="2438"/>
      <c r="L90" s="2438"/>
      <c r="M90" s="2438"/>
      <c r="N90" s="2438"/>
      <c r="O90" s="2438"/>
      <c r="P90" s="2438"/>
      <c r="Q90" s="2438"/>
      <c r="R90" s="2438"/>
      <c r="S90" s="2438"/>
      <c r="T90" s="2438"/>
      <c r="U90" s="2438"/>
      <c r="V90" s="2438"/>
      <c r="W90" s="2438"/>
      <c r="X90" s="2438"/>
      <c r="Y90" s="2438"/>
      <c r="Z90" s="2438"/>
      <c r="AA90" s="2438"/>
      <c r="AB90" s="2438"/>
      <c r="AC90" s="2438"/>
      <c r="AD90" s="2438"/>
      <c r="AE90" s="2438"/>
      <c r="AF90" s="2438"/>
      <c r="AG90" s="2438"/>
      <c r="AH90" s="2438"/>
      <c r="AI90" s="2438"/>
      <c r="AJ90" s="243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30">
        <f>Application!AC761</f>
        <v>0.39892473118279564</v>
      </c>
      <c r="F92" s="2431"/>
      <c r="G92" s="2431"/>
      <c r="H92" s="2431"/>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32">
        <f>0.6-ROUNDUP(E92,2)</f>
        <v>0.19999999999999996</v>
      </c>
      <c r="F93" s="2433"/>
      <c r="G93" s="2433"/>
      <c r="H93" s="2433"/>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59">
        <f>IF(E93*200&gt;20,20,E93*200)</f>
        <v>20</v>
      </c>
      <c r="F94" s="2460"/>
      <c r="G94" s="2460"/>
      <c r="H94" s="2460"/>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408" t="s">
        <v>545</v>
      </c>
      <c r="C97" s="2408"/>
      <c r="D97" s="546" t="s">
        <v>1310</v>
      </c>
      <c r="E97" s="2418" t="s">
        <v>1713</v>
      </c>
      <c r="F97" s="2419"/>
      <c r="G97" s="2419"/>
      <c r="H97" s="2419"/>
      <c r="I97" s="2419"/>
      <c r="J97" s="2419"/>
      <c r="K97" s="2419"/>
      <c r="L97" s="2419"/>
      <c r="M97" s="2419"/>
      <c r="N97" s="2419"/>
      <c r="O97" s="2419"/>
      <c r="P97" s="2419"/>
      <c r="Q97" s="2419"/>
      <c r="R97" s="2419"/>
      <c r="S97" s="2419"/>
      <c r="T97" s="2419"/>
      <c r="U97" s="2419"/>
      <c r="V97" s="2419"/>
      <c r="W97" s="2419"/>
      <c r="X97" s="2419"/>
      <c r="Y97" s="2419"/>
      <c r="Z97" s="2419"/>
      <c r="AA97" s="2419"/>
      <c r="AB97" s="2419"/>
      <c r="AC97" s="2419"/>
      <c r="AD97" s="2419"/>
      <c r="AE97" s="2419"/>
      <c r="AF97" s="2419"/>
      <c r="AG97" s="2419"/>
      <c r="AH97" s="2419"/>
      <c r="AI97" s="2419"/>
      <c r="AJ97" s="2420"/>
      <c r="AK97" s="543"/>
      <c r="AL97" s="540"/>
      <c r="AM97" s="540"/>
      <c r="AN97" s="535"/>
    </row>
    <row r="98" spans="1:47" s="536" customFormat="1" ht="12.75" customHeight="1">
      <c r="A98" s="538"/>
      <c r="B98" s="539"/>
      <c r="C98" s="539"/>
      <c r="D98" s="539"/>
      <c r="E98" s="2437"/>
      <c r="F98" s="2438"/>
      <c r="G98" s="2438"/>
      <c r="H98" s="2438"/>
      <c r="I98" s="2438"/>
      <c r="J98" s="2438"/>
      <c r="K98" s="2438"/>
      <c r="L98" s="2438"/>
      <c r="M98" s="2438"/>
      <c r="N98" s="2438"/>
      <c r="O98" s="2438"/>
      <c r="P98" s="2438"/>
      <c r="Q98" s="2438"/>
      <c r="R98" s="2438"/>
      <c r="S98" s="2438"/>
      <c r="T98" s="2438"/>
      <c r="U98" s="2438"/>
      <c r="V98" s="2438"/>
      <c r="W98" s="2438"/>
      <c r="X98" s="2438"/>
      <c r="Y98" s="2438"/>
      <c r="Z98" s="2438"/>
      <c r="AA98" s="2438"/>
      <c r="AB98" s="2438"/>
      <c r="AC98" s="2438"/>
      <c r="AD98" s="2438"/>
      <c r="AE98" s="2438"/>
      <c r="AF98" s="2438"/>
      <c r="AG98" s="2438"/>
      <c r="AH98" s="2438"/>
      <c r="AI98" s="2438"/>
      <c r="AJ98" s="2439"/>
      <c r="AK98" s="543"/>
      <c r="AL98" s="540"/>
      <c r="AM98" s="540"/>
      <c r="AN98" s="535"/>
    </row>
    <row r="99" spans="1:47" s="536" customFormat="1" ht="12.75" customHeight="1">
      <c r="A99" s="538"/>
      <c r="B99" s="539"/>
      <c r="C99" s="539"/>
      <c r="D99" s="539"/>
      <c r="E99" s="2437"/>
      <c r="F99" s="2438"/>
      <c r="G99" s="2438"/>
      <c r="H99" s="2438"/>
      <c r="I99" s="2438"/>
      <c r="J99" s="2438"/>
      <c r="K99" s="2438"/>
      <c r="L99" s="2438"/>
      <c r="M99" s="2438"/>
      <c r="N99" s="2438"/>
      <c r="O99" s="2438"/>
      <c r="P99" s="2438"/>
      <c r="Q99" s="2438"/>
      <c r="R99" s="2438"/>
      <c r="S99" s="2438"/>
      <c r="T99" s="2438"/>
      <c r="U99" s="2438"/>
      <c r="V99" s="2438"/>
      <c r="W99" s="2438"/>
      <c r="X99" s="2438"/>
      <c r="Y99" s="2438"/>
      <c r="Z99" s="2438"/>
      <c r="AA99" s="2438"/>
      <c r="AB99" s="2438"/>
      <c r="AC99" s="2438"/>
      <c r="AD99" s="2438"/>
      <c r="AE99" s="2438"/>
      <c r="AF99" s="2438"/>
      <c r="AG99" s="2438"/>
      <c r="AH99" s="2438"/>
      <c r="AI99" s="2438"/>
      <c r="AJ99" s="2439"/>
      <c r="AK99" s="543"/>
      <c r="AL99" s="540"/>
      <c r="AM99" s="540"/>
      <c r="AN99" s="535"/>
    </row>
    <row r="100" spans="1:47" s="536" customFormat="1" ht="12.75" customHeight="1">
      <c r="A100" s="538"/>
      <c r="B100" s="539"/>
      <c r="C100" s="539"/>
      <c r="D100" s="539"/>
      <c r="E100" s="2437"/>
      <c r="F100" s="2438"/>
      <c r="G100" s="2438"/>
      <c r="H100" s="2438"/>
      <c r="I100" s="2438"/>
      <c r="J100" s="2438"/>
      <c r="K100" s="2438"/>
      <c r="L100" s="2438"/>
      <c r="M100" s="2438"/>
      <c r="N100" s="2438"/>
      <c r="O100" s="2438"/>
      <c r="P100" s="2438"/>
      <c r="Q100" s="2438"/>
      <c r="R100" s="2438"/>
      <c r="S100" s="2438"/>
      <c r="T100" s="2438"/>
      <c r="U100" s="2438"/>
      <c r="V100" s="2438"/>
      <c r="W100" s="2438"/>
      <c r="X100" s="2438"/>
      <c r="Y100" s="2438"/>
      <c r="Z100" s="2438"/>
      <c r="AA100" s="2438"/>
      <c r="AB100" s="2438"/>
      <c r="AC100" s="2438"/>
      <c r="AD100" s="2438"/>
      <c r="AE100" s="2438"/>
      <c r="AF100" s="2438"/>
      <c r="AG100" s="2438"/>
      <c r="AH100" s="2438"/>
      <c r="AI100" s="2438"/>
      <c r="AJ100" s="243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30">
        <f>Application!AC761</f>
        <v>0.39892473118279564</v>
      </c>
      <c r="F102" s="2431"/>
      <c r="G102" s="2431"/>
      <c r="H102" s="2431"/>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30">
        <f ca="1">SUMIF(Application!AC726:AG760,0.2,Application!G726:J760)/Application!G761+SUMIF(Application!AC726:AG760,0.25,Application!G726:J760)/Application!G761+SUMIF(Application!AC726:AG760,0.3,Application!G726:J760)/Application!G761</f>
        <v>0.5053763440860215</v>
      </c>
      <c r="F103" s="2431"/>
      <c r="G103" s="2431"/>
      <c r="H103" s="2431"/>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30">
        <f ca="1">SUMIF(Application!AC726:AG760,0.35,Application!G726:J760)/Application!G761+SUMIF(Application!AC726:AG760,0.4,Application!G726:J760)/Application!G761+SUMIF(Application!AC726:AG760,0.45,Application!G726:J760)/Application!G761+SUMIF(Application!AC726:AG760,0.5,Application!G726:J760)/Application!G761</f>
        <v>0.4946236559139785</v>
      </c>
      <c r="F104" s="2431"/>
      <c r="G104" s="2431"/>
      <c r="H104" s="2431"/>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65">
        <f ca="1">IF(AND(E102&lt;=0.6,OR(AND(E103&gt;=0.1,E104&gt;=0.1),AND(E103&gt;0.1,(E103+E104)&gt;=0.2))),20,0)</f>
        <v>20</v>
      </c>
      <c r="F105" s="2466"/>
      <c r="G105" s="2466"/>
      <c r="H105" s="2466"/>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47">
        <f ca="1">MAX(AP94,AP105)</f>
        <v>20</v>
      </c>
      <c r="AL108" s="2448"/>
      <c r="AM108" s="2449"/>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36" t="s">
        <v>1307</v>
      </c>
      <c r="AF111" s="2436"/>
      <c r="AG111" s="2436"/>
      <c r="AH111" s="2436"/>
      <c r="AI111" s="2436"/>
      <c r="AJ111" s="2436"/>
      <c r="AK111" s="2436"/>
      <c r="AL111" s="540"/>
      <c r="AM111" s="540"/>
      <c r="AN111" s="535"/>
      <c r="AO111" s="536" t="str">
        <f>Application!B726</f>
        <v>SRO/Studio</v>
      </c>
      <c r="AQ111" s="536">
        <f>Application!O726</f>
        <v>795</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852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852</v>
      </c>
    </row>
    <row r="114" spans="1:52" s="536" customFormat="1" ht="12.75" customHeight="1">
      <c r="A114" s="540"/>
      <c r="B114" s="2408" t="s">
        <v>545</v>
      </c>
      <c r="C114" s="2408"/>
      <c r="D114" s="546" t="s">
        <v>1308</v>
      </c>
      <c r="E114" s="2418" t="s">
        <v>2561</v>
      </c>
      <c r="F114" s="2419"/>
      <c r="G114" s="2419"/>
      <c r="H114" s="2419"/>
      <c r="I114" s="2419"/>
      <c r="J114" s="2419"/>
      <c r="K114" s="2419"/>
      <c r="L114" s="2419"/>
      <c r="M114" s="2419"/>
      <c r="N114" s="2419"/>
      <c r="O114" s="2419"/>
      <c r="P114" s="2419"/>
      <c r="Q114" s="2419"/>
      <c r="R114" s="2419"/>
      <c r="S114" s="2419"/>
      <c r="T114" s="2419"/>
      <c r="U114" s="2419"/>
      <c r="V114" s="2419"/>
      <c r="W114" s="2419"/>
      <c r="X114" s="2419"/>
      <c r="Y114" s="2419"/>
      <c r="Z114" s="2419"/>
      <c r="AA114" s="2419"/>
      <c r="AB114" s="2419"/>
      <c r="AC114" s="2419"/>
      <c r="AD114" s="2419"/>
      <c r="AE114" s="2419"/>
      <c r="AF114" s="2419"/>
      <c r="AG114" s="2419"/>
      <c r="AH114" s="2419"/>
      <c r="AI114" s="2419"/>
      <c r="AJ114" s="2420"/>
      <c r="AK114" s="540"/>
      <c r="AL114" s="540"/>
      <c r="AM114" s="540"/>
      <c r="AN114" s="535"/>
      <c r="AO114" s="536" t="str">
        <f>Application!B729</f>
        <v>2 Bedrooms</v>
      </c>
      <c r="AQ114" s="536">
        <f>Application!O729</f>
        <v>1022</v>
      </c>
      <c r="AU114" s="536" t="s">
        <v>1815</v>
      </c>
      <c r="AV114" s="593" t="s">
        <v>1816</v>
      </c>
      <c r="AW114" s="536" t="s">
        <v>1817</v>
      </c>
    </row>
    <row r="115" spans="1:52" s="536" customFormat="1" ht="12.75" customHeight="1">
      <c r="A115" s="540"/>
      <c r="B115" s="539"/>
      <c r="C115" s="539"/>
      <c r="D115" s="539"/>
      <c r="E115" s="2437"/>
      <c r="F115" s="2438"/>
      <c r="G115" s="2438"/>
      <c r="H115" s="2438"/>
      <c r="I115" s="2438"/>
      <c r="J115" s="2438"/>
      <c r="K115" s="2438"/>
      <c r="L115" s="2438"/>
      <c r="M115" s="2438"/>
      <c r="N115" s="2438"/>
      <c r="O115" s="2438"/>
      <c r="P115" s="2438"/>
      <c r="Q115" s="2438"/>
      <c r="R115" s="2438"/>
      <c r="S115" s="2438"/>
      <c r="T115" s="2438"/>
      <c r="U115" s="2438"/>
      <c r="V115" s="2438"/>
      <c r="W115" s="2438"/>
      <c r="X115" s="2438"/>
      <c r="Y115" s="2438"/>
      <c r="Z115" s="2438"/>
      <c r="AA115" s="2438"/>
      <c r="AB115" s="2438"/>
      <c r="AC115" s="2438"/>
      <c r="AD115" s="2438"/>
      <c r="AE115" s="2438"/>
      <c r="AF115" s="2438"/>
      <c r="AG115" s="2438"/>
      <c r="AH115" s="2438"/>
      <c r="AI115" s="2438"/>
      <c r="AJ115" s="2439"/>
      <c r="AK115" s="540"/>
      <c r="AL115" s="540"/>
      <c r="AM115" s="540"/>
      <c r="AN115" s="535"/>
      <c r="AO115" s="536" t="str">
        <f>Application!B730</f>
        <v>2 Bedrooms</v>
      </c>
      <c r="AQ115" s="536">
        <f>Application!O730</f>
        <v>1022</v>
      </c>
      <c r="AU115" s="852" t="str">
        <f>E123</f>
        <v>Studio/SRO</v>
      </c>
      <c r="AV115" s="536">
        <f t="array" ref="AV115">SUM(IF(Application!B726:F760="SRO/Studio",Application!G726:J760))</f>
        <v>41</v>
      </c>
      <c r="AW115" s="1006">
        <f>AV115/AV121</f>
        <v>0.44086021505376344</v>
      </c>
    </row>
    <row r="116" spans="1:52" s="536" customFormat="1" ht="12.75" customHeight="1">
      <c r="A116" s="540"/>
      <c r="B116" s="539"/>
      <c r="C116" s="539"/>
      <c r="D116" s="539"/>
      <c r="E116" s="2437"/>
      <c r="F116" s="2438"/>
      <c r="G116" s="2438"/>
      <c r="H116" s="2438"/>
      <c r="I116" s="2438"/>
      <c r="J116" s="2438"/>
      <c r="K116" s="2438"/>
      <c r="L116" s="2438"/>
      <c r="M116" s="2438"/>
      <c r="N116" s="2438"/>
      <c r="O116" s="2438"/>
      <c r="P116" s="2438"/>
      <c r="Q116" s="2438"/>
      <c r="R116" s="2438"/>
      <c r="S116" s="2438"/>
      <c r="T116" s="2438"/>
      <c r="U116" s="2438"/>
      <c r="V116" s="2438"/>
      <c r="W116" s="2438"/>
      <c r="X116" s="2438"/>
      <c r="Y116" s="2438"/>
      <c r="Z116" s="2438"/>
      <c r="AA116" s="2438"/>
      <c r="AB116" s="2438"/>
      <c r="AC116" s="2438"/>
      <c r="AD116" s="2438"/>
      <c r="AE116" s="2438"/>
      <c r="AF116" s="2438"/>
      <c r="AG116" s="2438"/>
      <c r="AH116" s="2438"/>
      <c r="AI116" s="2438"/>
      <c r="AJ116" s="2439"/>
      <c r="AK116" s="540"/>
      <c r="AL116" s="540"/>
      <c r="AM116" s="540"/>
      <c r="AN116" s="535"/>
      <c r="AO116" s="536">
        <f>Application!B731</f>
        <v>0</v>
      </c>
      <c r="AQ116" s="536">
        <f>Application!O731</f>
        <v>0</v>
      </c>
      <c r="AU116" s="852" t="str">
        <f>J123</f>
        <v>1-bedroom</v>
      </c>
      <c r="AV116" s="536">
        <f t="array" ref="AV116">SUM(IF(Application!B726:F760="1 Bedroom",Application!G726:J760))</f>
        <v>47</v>
      </c>
      <c r="AW116" s="1006">
        <f>AV116/AV121</f>
        <v>0.5053763440860215</v>
      </c>
    </row>
    <row r="117" spans="1:52" s="536" customFormat="1" ht="12.75" customHeight="1">
      <c r="A117" s="540"/>
      <c r="B117" s="539"/>
      <c r="C117" s="539"/>
      <c r="D117" s="539"/>
      <c r="E117" s="2437"/>
      <c r="F117" s="2438"/>
      <c r="G117" s="2438"/>
      <c r="H117" s="2438"/>
      <c r="I117" s="2438"/>
      <c r="J117" s="2438"/>
      <c r="K117" s="2438"/>
      <c r="L117" s="2438"/>
      <c r="M117" s="2438"/>
      <c r="N117" s="2438"/>
      <c r="O117" s="2438"/>
      <c r="P117" s="2438"/>
      <c r="Q117" s="2438"/>
      <c r="R117" s="2438"/>
      <c r="S117" s="2438"/>
      <c r="T117" s="2438"/>
      <c r="U117" s="2438"/>
      <c r="V117" s="2438"/>
      <c r="W117" s="2438"/>
      <c r="X117" s="2438"/>
      <c r="Y117" s="2438"/>
      <c r="Z117" s="2438"/>
      <c r="AA117" s="2438"/>
      <c r="AB117" s="2438"/>
      <c r="AC117" s="2438"/>
      <c r="AD117" s="2438"/>
      <c r="AE117" s="2438"/>
      <c r="AF117" s="2438"/>
      <c r="AG117" s="2438"/>
      <c r="AH117" s="2438"/>
      <c r="AI117" s="2438"/>
      <c r="AJ117" s="2439"/>
      <c r="AK117" s="540"/>
      <c r="AL117" s="540"/>
      <c r="AM117" s="540"/>
      <c r="AN117" s="535"/>
      <c r="AO117" s="536">
        <f>Application!B732</f>
        <v>0</v>
      </c>
      <c r="AQ117" s="536">
        <f>Application!O732</f>
        <v>0</v>
      </c>
      <c r="AU117" s="852" t="str">
        <f>O123</f>
        <v>2-bedroom</v>
      </c>
      <c r="AV117" s="536">
        <f t="array" ref="AV117">SUM(IF(Application!B726:F760="2 Bedrooms",Application!G726:J760))</f>
        <v>5</v>
      </c>
      <c r="AW117" s="1006">
        <f>AV117/AV121</f>
        <v>5.3763440860215055E-2</v>
      </c>
    </row>
    <row r="118" spans="1:52" s="536" customFormat="1" ht="12.75" customHeight="1">
      <c r="A118" s="540"/>
      <c r="B118" s="539"/>
      <c r="C118" s="539"/>
      <c r="D118" s="539"/>
      <c r="E118" s="2437"/>
      <c r="F118" s="2438"/>
      <c r="G118" s="2438"/>
      <c r="H118" s="2438"/>
      <c r="I118" s="2438"/>
      <c r="J118" s="2438"/>
      <c r="K118" s="2438"/>
      <c r="L118" s="2438"/>
      <c r="M118" s="2438"/>
      <c r="N118" s="2438"/>
      <c r="O118" s="2438"/>
      <c r="P118" s="2438"/>
      <c r="Q118" s="2438"/>
      <c r="R118" s="2438"/>
      <c r="S118" s="2438"/>
      <c r="T118" s="2438"/>
      <c r="U118" s="2438"/>
      <c r="V118" s="2438"/>
      <c r="W118" s="2438"/>
      <c r="X118" s="2438"/>
      <c r="Y118" s="2438"/>
      <c r="Z118" s="2438"/>
      <c r="AA118" s="2438"/>
      <c r="AB118" s="2438"/>
      <c r="AC118" s="2438"/>
      <c r="AD118" s="2438"/>
      <c r="AE118" s="2438"/>
      <c r="AF118" s="2438"/>
      <c r="AG118" s="2438"/>
      <c r="AH118" s="2438"/>
      <c r="AI118" s="2438"/>
      <c r="AJ118" s="2439"/>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37"/>
      <c r="F119" s="2438"/>
      <c r="G119" s="2438"/>
      <c r="H119" s="2438"/>
      <c r="I119" s="2438"/>
      <c r="J119" s="2438"/>
      <c r="K119" s="2438"/>
      <c r="L119" s="2438"/>
      <c r="M119" s="2438"/>
      <c r="N119" s="2438"/>
      <c r="O119" s="2438"/>
      <c r="P119" s="2438"/>
      <c r="Q119" s="2438"/>
      <c r="R119" s="2438"/>
      <c r="S119" s="2438"/>
      <c r="T119" s="2438"/>
      <c r="U119" s="2438"/>
      <c r="V119" s="2438"/>
      <c r="W119" s="2438"/>
      <c r="X119" s="2438"/>
      <c r="Y119" s="2438"/>
      <c r="Z119" s="2438"/>
      <c r="AA119" s="2438"/>
      <c r="AB119" s="2438"/>
      <c r="AC119" s="2438"/>
      <c r="AD119" s="2438"/>
      <c r="AE119" s="2438"/>
      <c r="AF119" s="2438"/>
      <c r="AG119" s="2438"/>
      <c r="AH119" s="2438"/>
      <c r="AI119" s="2438"/>
      <c r="AJ119" s="243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37"/>
      <c r="F120" s="2438"/>
      <c r="G120" s="2438"/>
      <c r="H120" s="2438"/>
      <c r="I120" s="2438"/>
      <c r="J120" s="2438"/>
      <c r="K120" s="2438"/>
      <c r="L120" s="2438"/>
      <c r="M120" s="2438"/>
      <c r="N120" s="2438"/>
      <c r="O120" s="2438"/>
      <c r="P120" s="2438"/>
      <c r="Q120" s="2438"/>
      <c r="R120" s="2438"/>
      <c r="S120" s="2438"/>
      <c r="T120" s="2438"/>
      <c r="U120" s="2438"/>
      <c r="V120" s="2438"/>
      <c r="W120" s="2438"/>
      <c r="X120" s="2438"/>
      <c r="Y120" s="2438"/>
      <c r="Z120" s="2438"/>
      <c r="AA120" s="2438"/>
      <c r="AB120" s="2438"/>
      <c r="AC120" s="2438"/>
      <c r="AD120" s="2438"/>
      <c r="AE120" s="2438"/>
      <c r="AF120" s="2438"/>
      <c r="AG120" s="2438"/>
      <c r="AH120" s="2438"/>
      <c r="AI120" s="2438"/>
      <c r="AJ120" s="243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37"/>
      <c r="F121" s="2438"/>
      <c r="G121" s="2438"/>
      <c r="H121" s="2438"/>
      <c r="I121" s="2438"/>
      <c r="J121" s="2438"/>
      <c r="K121" s="2438"/>
      <c r="L121" s="2438"/>
      <c r="M121" s="2438"/>
      <c r="N121" s="2438"/>
      <c r="O121" s="2438"/>
      <c r="P121" s="2438"/>
      <c r="Q121" s="2438"/>
      <c r="R121" s="2438"/>
      <c r="S121" s="2438"/>
      <c r="T121" s="2438"/>
      <c r="U121" s="2438"/>
      <c r="V121" s="2438"/>
      <c r="W121" s="2438"/>
      <c r="X121" s="2438"/>
      <c r="Y121" s="2438"/>
      <c r="Z121" s="2438"/>
      <c r="AA121" s="2438"/>
      <c r="AB121" s="2438"/>
      <c r="AC121" s="2438"/>
      <c r="AD121" s="2438"/>
      <c r="AE121" s="2438"/>
      <c r="AF121" s="2438"/>
      <c r="AG121" s="2438"/>
      <c r="AH121" s="2438"/>
      <c r="AI121" s="2438"/>
      <c r="AJ121" s="2439"/>
      <c r="AK121" s="540"/>
      <c r="AL121" s="540"/>
      <c r="AM121" s="540"/>
      <c r="AN121" s="535"/>
      <c r="AO121" s="536">
        <f>Application!B736</f>
        <v>0</v>
      </c>
      <c r="AQ121" s="536">
        <f>Application!O736</f>
        <v>0</v>
      </c>
      <c r="AV121" s="536">
        <f>SUM(AV115:AV120)</f>
        <v>93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30" t="s">
        <v>1576</v>
      </c>
      <c r="F123" s="2431"/>
      <c r="G123" s="2431"/>
      <c r="H123" s="2431"/>
      <c r="I123" s="575"/>
      <c r="J123" s="2431" t="s">
        <v>1619</v>
      </c>
      <c r="K123" s="2431"/>
      <c r="L123" s="2431"/>
      <c r="M123" s="2431"/>
      <c r="N123" s="575"/>
      <c r="O123" s="2431" t="s">
        <v>1620</v>
      </c>
      <c r="P123" s="2431"/>
      <c r="Q123" s="2431"/>
      <c r="R123" s="2431"/>
      <c r="S123" s="575"/>
      <c r="T123" s="2431" t="s">
        <v>1327</v>
      </c>
      <c r="U123" s="2431"/>
      <c r="V123" s="2431"/>
      <c r="W123" s="2431"/>
      <c r="X123" s="575"/>
      <c r="Y123" s="2431" t="s">
        <v>1621</v>
      </c>
      <c r="Z123" s="2431"/>
      <c r="AA123" s="2431"/>
      <c r="AB123" s="2431"/>
      <c r="AC123" s="575"/>
      <c r="AD123" s="2431" t="s">
        <v>1622</v>
      </c>
      <c r="AE123" s="2431"/>
      <c r="AF123" s="2431"/>
      <c r="AG123" s="243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67">
        <v>2193</v>
      </c>
      <c r="F126" s="2468"/>
      <c r="G126" s="2468"/>
      <c r="H126" s="2468"/>
      <c r="I126" s="860"/>
      <c r="J126" s="2468">
        <v>2531</v>
      </c>
      <c r="K126" s="2468"/>
      <c r="L126" s="2468"/>
      <c r="M126" s="2468"/>
      <c r="N126" s="860"/>
      <c r="O126" s="2468">
        <v>3254</v>
      </c>
      <c r="P126" s="2468"/>
      <c r="Q126" s="2468"/>
      <c r="R126" s="2468"/>
      <c r="S126" s="860"/>
      <c r="T126" s="2468"/>
      <c r="U126" s="2468"/>
      <c r="V126" s="2468"/>
      <c r="W126" s="2468"/>
      <c r="X126" s="860"/>
      <c r="Y126" s="2468"/>
      <c r="Z126" s="2468"/>
      <c r="AA126" s="2468"/>
      <c r="AB126" s="2468"/>
      <c r="AC126" s="860"/>
      <c r="AD126" s="2468"/>
      <c r="AE126" s="2468"/>
      <c r="AF126" s="2468"/>
      <c r="AG126" s="2468"/>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41">
        <f>Application!DX678</f>
        <v>795</v>
      </c>
      <c r="F129" s="2442"/>
      <c r="G129" s="2442"/>
      <c r="H129" s="2442"/>
      <c r="I129" s="860"/>
      <c r="J129" s="2442">
        <f>Application!EC678</f>
        <v>852</v>
      </c>
      <c r="K129" s="2442"/>
      <c r="L129" s="2442"/>
      <c r="M129" s="2442"/>
      <c r="N129" s="860"/>
      <c r="O129" s="2442">
        <f>Application!EH678</f>
        <v>1022</v>
      </c>
      <c r="P129" s="2442"/>
      <c r="Q129" s="2442"/>
      <c r="R129" s="2442"/>
      <c r="S129" s="864"/>
      <c r="T129" s="2442">
        <f>Application!EM678</f>
        <v>0</v>
      </c>
      <c r="U129" s="2442"/>
      <c r="V129" s="2442"/>
      <c r="W129" s="2442"/>
      <c r="X129" s="864"/>
      <c r="Y129" s="2442">
        <f>Application!ER678</f>
        <v>0</v>
      </c>
      <c r="Z129" s="2442"/>
      <c r="AA129" s="2442"/>
      <c r="AB129" s="2442"/>
      <c r="AC129" s="864"/>
      <c r="AD129" s="2442">
        <f>Application!EW678</f>
        <v>0</v>
      </c>
      <c r="AE129" s="2442"/>
      <c r="AF129" s="2442"/>
      <c r="AG129" s="2442"/>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40">
        <f>(E126-E129)/E126</f>
        <v>0.63748290013679887</v>
      </c>
      <c r="F132" s="2433"/>
      <c r="G132" s="2433"/>
      <c r="H132" s="2641"/>
      <c r="I132" s="575"/>
      <c r="J132" s="2640">
        <f>(J126-J129)/J126</f>
        <v>0.6633741604109048</v>
      </c>
      <c r="K132" s="2433"/>
      <c r="L132" s="2433"/>
      <c r="M132" s="2641"/>
      <c r="N132" s="575"/>
      <c r="O132" s="2640">
        <f>(O126-O129)/O126</f>
        <v>0.68592501536570372</v>
      </c>
      <c r="P132" s="2433"/>
      <c r="Q132" s="2433"/>
      <c r="R132" s="2641"/>
      <c r="S132" s="575"/>
      <c r="T132" s="2640" t="e">
        <f>(T126-T129)/T126</f>
        <v>#DIV/0!</v>
      </c>
      <c r="U132" s="2433"/>
      <c r="V132" s="2433"/>
      <c r="W132" s="2641"/>
      <c r="X132" s="575"/>
      <c r="Y132" s="2640" t="e">
        <f>(Y126-Y129)/Y126</f>
        <v>#DIV/0!</v>
      </c>
      <c r="Z132" s="2433"/>
      <c r="AA132" s="2433"/>
      <c r="AB132" s="2641"/>
      <c r="AC132" s="575"/>
      <c r="AD132" s="2640" t="e">
        <f>(AD126-AD129)/AD126</f>
        <v>#DIV/0!</v>
      </c>
      <c r="AE132" s="2433"/>
      <c r="AF132" s="2433"/>
      <c r="AG132" s="264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56">
        <f>IF(((E132-0.1)*AW115)&gt;0,((E132-0.1)*AW115),0)</f>
        <v>0.23695482694202963</v>
      </c>
      <c r="F135" s="2457"/>
      <c r="G135" s="2457"/>
      <c r="H135" s="2458"/>
      <c r="I135" s="575"/>
      <c r="J135" s="2456">
        <f>IF(((J132-0.1)*AW116)&gt;0,((J132-0.1)*AW116),0)</f>
        <v>0.28471597354099493</v>
      </c>
      <c r="K135" s="2457"/>
      <c r="L135" s="2457"/>
      <c r="M135" s="2458"/>
      <c r="N135" s="575"/>
      <c r="O135" s="2456">
        <f>IF(((O132-0.1)*AW117)&gt;0,((O132-0.1)*AW117),0)</f>
        <v>3.1501344912134611E-2</v>
      </c>
      <c r="P135" s="2457"/>
      <c r="Q135" s="2457"/>
      <c r="R135" s="2458"/>
      <c r="S135" s="575"/>
      <c r="T135" s="2456" t="e">
        <f>IF(((T132-0.1)*AW118)&gt;0,((T132-0.1)*AW118),0)</f>
        <v>#DIV/0!</v>
      </c>
      <c r="U135" s="2457"/>
      <c r="V135" s="2457"/>
      <c r="W135" s="2458"/>
      <c r="X135" s="575"/>
      <c r="Y135" s="2456" t="e">
        <f>IF(((Y132-0.1)*AW119)&gt;0,((Y132-0.1)*AW119),0)</f>
        <v>#DIV/0!</v>
      </c>
      <c r="Z135" s="2457"/>
      <c r="AA135" s="2457"/>
      <c r="AB135" s="2458"/>
      <c r="AC135" s="575"/>
      <c r="AD135" s="2456" t="e">
        <f>IF(((AD132-0.1)*AW120)&gt;0,((AD132-0.1)*AW120),0)</f>
        <v>#DIV/0!</v>
      </c>
      <c r="AE135" s="2457"/>
      <c r="AF135" s="2457"/>
      <c r="AG135" s="245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40">
        <f>ROUNDDOWN(SUMIF(E135:AG135,"&gt;0"),2)</f>
        <v>0.55000000000000004</v>
      </c>
      <c r="F137" s="2433"/>
      <c r="G137" s="2433"/>
      <c r="H137" s="2641"/>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47">
        <f>IF((E137*100)&gt;10,10,E137*100)</f>
        <v>10</v>
      </c>
      <c r="F138" s="2448"/>
      <c r="G138" s="2448"/>
      <c r="H138" s="2449"/>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47">
        <f>E138</f>
        <v>10</v>
      </c>
      <c r="AL142" s="2448"/>
      <c r="AM142" s="2449"/>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36" t="s">
        <v>1307</v>
      </c>
      <c r="AF145" s="2436"/>
      <c r="AG145" s="2436"/>
      <c r="AH145" s="2436"/>
      <c r="AI145" s="2436"/>
      <c r="AJ145" s="2436"/>
      <c r="AK145" s="2436"/>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69" t="s">
        <v>1331</v>
      </c>
      <c r="AG147" s="2469"/>
      <c r="AH147" s="2469"/>
      <c r="AI147" s="2469"/>
      <c r="AJ147" s="2469"/>
      <c r="AK147" s="2469"/>
      <c r="AL147" s="246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79" t="s">
        <v>2750</v>
      </c>
      <c r="C149" s="2479"/>
      <c r="D149" s="2479"/>
      <c r="E149" s="2479"/>
      <c r="F149" s="2479"/>
      <c r="G149" s="2479"/>
      <c r="H149" s="2479"/>
      <c r="I149" s="2479"/>
      <c r="J149" s="2479"/>
      <c r="K149" s="2479"/>
      <c r="L149" s="2479"/>
      <c r="M149" s="2479"/>
      <c r="N149" s="2479"/>
      <c r="O149" s="2479"/>
      <c r="P149" s="2479"/>
      <c r="Q149" s="2479"/>
      <c r="R149" s="2479"/>
      <c r="S149" s="2479"/>
      <c r="T149" s="2479"/>
      <c r="U149" s="2479"/>
      <c r="V149" s="2479"/>
      <c r="W149" s="2479"/>
      <c r="X149" s="2479"/>
      <c r="Y149" s="2479"/>
      <c r="Z149" s="2479"/>
      <c r="AA149" s="2479"/>
      <c r="AB149" s="2479"/>
      <c r="AC149" s="247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80" t="s">
        <v>1334</v>
      </c>
      <c r="C152" s="2480"/>
      <c r="D152" s="2480"/>
      <c r="E152" s="2480"/>
      <c r="F152" s="2480"/>
      <c r="G152" s="2480"/>
      <c r="H152" s="2480"/>
      <c r="I152" s="2480"/>
      <c r="J152" s="2480"/>
      <c r="K152" s="2480"/>
      <c r="L152" s="2480"/>
      <c r="M152" s="2480"/>
      <c r="N152" s="2480"/>
      <c r="O152" s="2480"/>
      <c r="P152" s="2480"/>
      <c r="Q152" s="2480"/>
      <c r="R152" s="2480"/>
      <c r="S152" s="2480"/>
      <c r="T152" s="2480"/>
      <c r="U152" s="2480"/>
      <c r="V152" s="2480"/>
      <c r="W152" s="2480"/>
      <c r="X152" s="2480"/>
      <c r="Y152" s="2480"/>
      <c r="Z152" s="2480"/>
      <c r="AA152" s="2480"/>
      <c r="AB152" s="2480"/>
      <c r="AC152" s="2480"/>
      <c r="AD152" s="2480"/>
      <c r="AE152" s="2480"/>
      <c r="AF152" s="2480"/>
      <c r="AG152" s="2480"/>
      <c r="AH152" s="2480"/>
      <c r="AI152" s="2480"/>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481" t="s">
        <v>591</v>
      </c>
      <c r="AC154" s="2481"/>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80" t="s">
        <v>1336</v>
      </c>
      <c r="C157" s="2480"/>
      <c r="D157" s="2480"/>
      <c r="E157" s="2480"/>
      <c r="F157" s="2480"/>
      <c r="G157" s="2480"/>
      <c r="H157" s="2480"/>
      <c r="I157" s="2480"/>
      <c r="J157" s="2480"/>
      <c r="K157" s="2480"/>
      <c r="L157" s="2480"/>
      <c r="M157" s="2480"/>
      <c r="N157" s="2480"/>
      <c r="O157" s="2480"/>
      <c r="P157" s="2480"/>
      <c r="Q157" s="2480"/>
      <c r="R157" s="2480"/>
      <c r="S157" s="2480"/>
      <c r="T157" s="2480"/>
      <c r="U157" s="2480"/>
      <c r="V157" s="2480"/>
      <c r="W157" s="2480"/>
      <c r="X157" s="2480"/>
      <c r="Y157" s="2480"/>
      <c r="Z157" s="2480"/>
      <c r="AA157" s="2480"/>
      <c r="AB157" s="2480"/>
      <c r="AC157" s="2480"/>
      <c r="AD157" s="2480"/>
      <c r="AE157" s="2480"/>
      <c r="AF157" s="2480"/>
      <c r="AG157" s="2480"/>
      <c r="AH157" s="2480"/>
      <c r="AI157" s="2480"/>
      <c r="AJ157" s="2480"/>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45" t="s">
        <v>2404</v>
      </c>
      <c r="C160" s="2645"/>
      <c r="D160" s="2645"/>
      <c r="E160" s="2645"/>
      <c r="F160" s="2645"/>
      <c r="G160" s="2645"/>
      <c r="H160" s="2645"/>
      <c r="I160" s="2645"/>
      <c r="J160" s="2645"/>
      <c r="K160" s="2645"/>
      <c r="L160" s="2645"/>
      <c r="M160" s="2645"/>
      <c r="N160" s="2645"/>
      <c r="O160" s="2645"/>
      <c r="P160" s="2645"/>
      <c r="Q160" s="2645"/>
      <c r="R160" s="2645"/>
      <c r="S160" s="2645"/>
      <c r="T160" s="2645"/>
      <c r="U160" s="2645"/>
      <c r="V160" s="2645"/>
      <c r="W160" s="2645"/>
      <c r="X160" s="2645"/>
      <c r="Y160" s="2645"/>
      <c r="Z160" s="2645"/>
      <c r="AA160" s="2645"/>
      <c r="AB160" s="2645"/>
      <c r="AC160" s="2645"/>
      <c r="AD160" s="2645"/>
      <c r="AE160" s="2645"/>
      <c r="AF160" s="2645"/>
      <c r="AG160" s="2645"/>
      <c r="AH160" s="2645"/>
      <c r="AI160" s="2645"/>
      <c r="AJ160" s="2645"/>
      <c r="AK160" s="1173"/>
      <c r="AM160" s="539"/>
      <c r="AN160" s="535"/>
      <c r="AO160" s="476"/>
      <c r="AP160" s="489"/>
    </row>
    <row r="161" spans="1:42" s="536" customFormat="1" ht="12.75" customHeight="1">
      <c r="B161" s="2645"/>
      <c r="C161" s="2645"/>
      <c r="D161" s="2645"/>
      <c r="E161" s="2645"/>
      <c r="F161" s="2645"/>
      <c r="G161" s="2645"/>
      <c r="H161" s="2645"/>
      <c r="I161" s="2645"/>
      <c r="J161" s="2645"/>
      <c r="K161" s="2645"/>
      <c r="L161" s="2645"/>
      <c r="M161" s="2645"/>
      <c r="N161" s="2645"/>
      <c r="O161" s="2645"/>
      <c r="P161" s="2645"/>
      <c r="Q161" s="2645"/>
      <c r="R161" s="2645"/>
      <c r="S161" s="2645"/>
      <c r="T161" s="2645"/>
      <c r="U161" s="2645"/>
      <c r="V161" s="2645"/>
      <c r="W161" s="2645"/>
      <c r="X161" s="2645"/>
      <c r="Y161" s="2645"/>
      <c r="Z161" s="2645"/>
      <c r="AA161" s="2645"/>
      <c r="AB161" s="2645"/>
      <c r="AC161" s="2645"/>
      <c r="AD161" s="2645"/>
      <c r="AE161" s="2645"/>
      <c r="AF161" s="2645"/>
      <c r="AG161" s="2645"/>
      <c r="AH161" s="2645"/>
      <c r="AI161" s="2645"/>
      <c r="AJ161" s="2645"/>
      <c r="AK161" s="1173"/>
      <c r="AM161" s="539"/>
      <c r="AN161" s="535"/>
      <c r="AO161" s="476"/>
      <c r="AP161" s="489"/>
    </row>
    <row r="162" spans="1:42" s="536" customFormat="1" ht="12.75" customHeight="1">
      <c r="C162" s="2556" t="s">
        <v>2405</v>
      </c>
      <c r="D162" s="2556"/>
      <c r="E162" s="2556"/>
      <c r="F162" s="2556"/>
      <c r="G162" s="2556"/>
      <c r="H162" s="2556"/>
      <c r="I162" s="2556"/>
      <c r="J162" s="2556"/>
      <c r="K162" s="2556"/>
      <c r="L162" s="2556"/>
      <c r="M162" s="2556"/>
      <c r="N162" s="2556"/>
      <c r="O162" s="2556"/>
      <c r="P162" s="2556"/>
      <c r="Q162" s="2556"/>
      <c r="R162" s="2556"/>
      <c r="S162" s="2556"/>
      <c r="T162" s="2556"/>
      <c r="U162" s="2556"/>
      <c r="V162" s="2556"/>
      <c r="W162" s="2556"/>
      <c r="X162" s="2556"/>
      <c r="Y162" s="2556"/>
      <c r="Z162" s="2556"/>
      <c r="AA162" s="2556"/>
      <c r="AB162" s="2556"/>
      <c r="AC162" s="2556"/>
      <c r="AD162" s="2556"/>
      <c r="AE162" s="2556"/>
      <c r="AF162" s="2556"/>
      <c r="AG162" s="2556"/>
      <c r="AH162" s="2556"/>
      <c r="AI162" s="2556"/>
      <c r="AJ162" s="2556"/>
      <c r="AK162" s="1173"/>
      <c r="AM162" s="539"/>
      <c r="AN162" s="535"/>
      <c r="AO162" s="476"/>
      <c r="AP162" s="489"/>
    </row>
    <row r="163" spans="1:42" s="536" customFormat="1" ht="12.75" customHeight="1">
      <c r="B163" s="1173"/>
      <c r="C163" s="2478" t="s">
        <v>2403</v>
      </c>
      <c r="D163" s="2478"/>
      <c r="E163" s="2478"/>
      <c r="F163" s="2478"/>
      <c r="G163" s="2478"/>
      <c r="H163" s="2478"/>
      <c r="I163" s="2478"/>
      <c r="J163" s="2478"/>
      <c r="K163" s="2478"/>
      <c r="L163" s="2478"/>
      <c r="M163" s="2478"/>
      <c r="N163" s="2478"/>
      <c r="O163" s="2478"/>
      <c r="P163" s="2478"/>
      <c r="Q163" s="2478"/>
      <c r="R163" s="2478"/>
      <c r="S163" s="2478"/>
      <c r="T163" s="2478"/>
      <c r="U163" s="2478"/>
      <c r="V163" s="2478"/>
      <c r="W163" s="2478"/>
      <c r="X163" s="2478"/>
      <c r="Y163" s="2478"/>
      <c r="Z163" s="2478"/>
      <c r="AA163" s="1163"/>
      <c r="AB163" s="1163"/>
      <c r="AC163" s="1163"/>
      <c r="AD163" s="1163"/>
      <c r="AE163" s="1163"/>
      <c r="AF163" s="1163"/>
      <c r="AG163" s="1163"/>
      <c r="AH163" s="1163"/>
      <c r="AJ163" s="2481" t="s">
        <v>591</v>
      </c>
      <c r="AK163" s="2481"/>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4">
        <f>IF($AB$154="N/A",VLOOKUP($B$152,$AO$150:$AP$153,2,FALSE),VLOOKUP($B$157,$AO$155:$AP$157,2,FALSE))</f>
        <v>7</v>
      </c>
      <c r="AK165" s="248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69" t="s">
        <v>1345</v>
      </c>
      <c r="AG167" s="2469"/>
      <c r="AH167" s="2469"/>
      <c r="AI167" s="2469"/>
      <c r="AJ167" s="2469"/>
      <c r="AK167" s="2469"/>
      <c r="AL167" s="246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80" t="s">
        <v>1343</v>
      </c>
      <c r="D169" s="2480"/>
      <c r="E169" s="2480"/>
      <c r="F169" s="2480"/>
      <c r="G169" s="2480"/>
      <c r="H169" s="2480"/>
      <c r="I169" s="2480"/>
      <c r="J169" s="2480"/>
      <c r="K169" s="2480"/>
      <c r="L169" s="2480"/>
      <c r="M169" s="2480"/>
      <c r="N169" s="2480"/>
      <c r="O169" s="2480"/>
      <c r="P169" s="2480"/>
      <c r="Q169" s="2480"/>
      <c r="R169" s="2480"/>
      <c r="S169" s="2480"/>
      <c r="T169" s="2480"/>
      <c r="U169" s="2480"/>
      <c r="V169" s="2480"/>
      <c r="W169" s="2480"/>
      <c r="X169" s="2480"/>
      <c r="Y169" s="2480"/>
      <c r="Z169" s="2480"/>
      <c r="AA169" s="2480"/>
      <c r="AB169" s="2480"/>
      <c r="AC169" s="2480"/>
      <c r="AD169" s="2480"/>
      <c r="AE169" s="2480"/>
      <c r="AF169" s="2480"/>
      <c r="AG169" s="2480"/>
      <c r="AH169" s="2480"/>
      <c r="AI169" s="2480"/>
      <c r="AJ169" s="536"/>
      <c r="AK169" s="536"/>
      <c r="AL169" s="536"/>
      <c r="AM169" s="601"/>
      <c r="AN169" s="595"/>
      <c r="AO169" s="476" t="s">
        <v>307</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81" t="s">
        <v>591</v>
      </c>
      <c r="AG171" s="2481"/>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80" t="s">
        <v>1336</v>
      </c>
      <c r="D173" s="2480"/>
      <c r="E173" s="2480"/>
      <c r="F173" s="2480"/>
      <c r="G173" s="2480"/>
      <c r="H173" s="2480"/>
      <c r="I173" s="2480"/>
      <c r="J173" s="2480"/>
      <c r="K173" s="2480"/>
      <c r="L173" s="2480"/>
      <c r="M173" s="2480"/>
      <c r="N173" s="2480"/>
      <c r="O173" s="2480"/>
      <c r="P173" s="2480"/>
      <c r="Q173" s="2480"/>
      <c r="R173" s="2480"/>
      <c r="S173" s="2480"/>
      <c r="T173" s="2480"/>
      <c r="U173" s="2480"/>
      <c r="V173" s="2480"/>
      <c r="W173" s="2480"/>
      <c r="X173" s="2480"/>
      <c r="Y173" s="2480"/>
      <c r="Z173" s="2480"/>
      <c r="AA173" s="2480"/>
      <c r="AB173" s="2480"/>
      <c r="AC173" s="2480"/>
      <c r="AD173" s="2480"/>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82" t="str">
        <f>Application!AA344</f>
        <v>The John Stewart Company</v>
      </c>
      <c r="D177" s="2482"/>
      <c r="E177" s="2482"/>
      <c r="F177" s="2482"/>
      <c r="G177" s="2482"/>
      <c r="H177" s="2482"/>
      <c r="I177" s="2482"/>
      <c r="J177" s="2482"/>
      <c r="K177" s="2482"/>
      <c r="L177" s="2482"/>
      <c r="M177" s="2482"/>
      <c r="N177" s="2482"/>
      <c r="O177" s="2482"/>
      <c r="P177" s="2482"/>
      <c r="Q177" s="2482"/>
      <c r="R177" s="2482"/>
      <c r="S177" s="2482"/>
      <c r="T177" s="2482"/>
      <c r="U177" s="2482"/>
      <c r="V177" s="2482"/>
      <c r="W177" s="2482"/>
      <c r="X177" s="2482"/>
      <c r="Y177" s="2482"/>
      <c r="Z177" s="2482"/>
      <c r="AA177" s="2482"/>
      <c r="AB177" s="2482"/>
      <c r="AC177" s="2482"/>
      <c r="AD177" s="2482"/>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3">
        <f>IF($AF$171="N/A",VLOOKUP($C$169,$AO$169:$AP$172,2,FALSE),VLOOKUP($C$173,$AO$176:$AP$178,2,FALSE))</f>
        <v>3</v>
      </c>
      <c r="AK179" s="248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47">
        <f>$AJ$165+$AJ$179</f>
        <v>10</v>
      </c>
      <c r="AL182" s="2448"/>
      <c r="AM182" s="2449"/>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36" t="s">
        <v>1307</v>
      </c>
      <c r="AF185" s="2436"/>
      <c r="AG185" s="2436"/>
      <c r="AH185" s="2436"/>
      <c r="AI185" s="2436"/>
      <c r="AJ185" s="2436"/>
      <c r="AK185" s="243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77" t="s">
        <v>1042</v>
      </c>
      <c r="C187" s="2477"/>
      <c r="D187" s="2477"/>
      <c r="E187" s="2477"/>
      <c r="F187" s="2477"/>
      <c r="G187" s="2477"/>
      <c r="H187" s="2477"/>
      <c r="I187" s="2477"/>
      <c r="J187" s="2477"/>
      <c r="K187" s="2477"/>
      <c r="L187" s="2477"/>
      <c r="M187" s="2477"/>
      <c r="N187" s="2477"/>
      <c r="O187" s="2477"/>
      <c r="P187" s="2477"/>
      <c r="Q187" s="2477"/>
      <c r="R187" s="2477"/>
      <c r="S187" s="2477"/>
      <c r="T187" s="2477"/>
      <c r="U187" s="2477"/>
      <c r="V187" s="2477"/>
      <c r="W187" s="2477"/>
      <c r="X187" s="2477"/>
      <c r="Y187" s="2477"/>
      <c r="Z187" s="2477"/>
      <c r="AA187" s="2477"/>
      <c r="AB187" s="2477"/>
      <c r="AC187" s="2477"/>
      <c r="AD187" s="536"/>
      <c r="AE187" s="536"/>
      <c r="AF187" s="2469" t="s">
        <v>1356</v>
      </c>
      <c r="AG187" s="2469"/>
      <c r="AH187" s="2469"/>
      <c r="AI187" s="2469"/>
      <c r="AJ187" s="2469"/>
      <c r="AK187" s="2469"/>
      <c r="AL187" s="2469"/>
      <c r="AN187" s="595"/>
      <c r="AP187" s="549" t="s">
        <v>1042</v>
      </c>
      <c r="AQ187" s="549">
        <v>10</v>
      </c>
    </row>
    <row r="188" spans="1:73" s="549" customFormat="1" ht="12.75" customHeight="1">
      <c r="A188" s="536"/>
      <c r="B188" s="2478" t="s">
        <v>1714</v>
      </c>
      <c r="C188" s="2478"/>
      <c r="D188" s="2478"/>
      <c r="E188" s="2478"/>
      <c r="F188" s="2478"/>
      <c r="G188" s="2478"/>
      <c r="H188" s="2478"/>
      <c r="I188" s="2478"/>
      <c r="J188" s="2478"/>
      <c r="K188" s="2478"/>
      <c r="L188" s="2478"/>
      <c r="M188" s="2478"/>
      <c r="N188" s="2478"/>
      <c r="O188" s="2478"/>
      <c r="P188" s="2478"/>
      <c r="Q188" s="2478"/>
      <c r="R188" s="2478"/>
      <c r="S188" s="2478"/>
      <c r="T188" s="2479" t="s">
        <v>591</v>
      </c>
      <c r="U188" s="2479"/>
      <c r="V188" s="2479"/>
      <c r="W188" s="2479"/>
      <c r="X188" s="2479"/>
      <c r="Y188" s="2479"/>
      <c r="Z188" s="2479"/>
      <c r="AA188" s="2479"/>
      <c r="AB188" s="2479"/>
      <c r="AC188" s="2479"/>
      <c r="AD188" s="536"/>
      <c r="AE188" s="536"/>
      <c r="AF188" s="536"/>
      <c r="AG188" s="536"/>
      <c r="AH188" s="536"/>
      <c r="AI188" s="536"/>
      <c r="AJ188" s="543"/>
      <c r="AK188" s="593"/>
      <c r="AL188" s="593"/>
      <c r="AM188" s="593"/>
      <c r="AN188" s="595"/>
      <c r="AP188" s="549" t="s">
        <v>1357</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94">
        <f>IF(AK83&gt;0,VLOOKUP($B$187,AP184:AQ190,2,FALSE),0)</f>
        <v>10</v>
      </c>
      <c r="AL190" s="2495"/>
      <c r="AM190" s="2496"/>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36" t="s">
        <v>1364</v>
      </c>
      <c r="AF193" s="2436"/>
      <c r="AG193" s="2436"/>
      <c r="AH193" s="2436"/>
      <c r="AI193" s="2436"/>
      <c r="AJ193" s="2436"/>
      <c r="AK193" s="243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71"/>
      <c r="C198" s="2471"/>
      <c r="D198" s="2471"/>
      <c r="E198" s="2471"/>
      <c r="F198" s="2471"/>
      <c r="G198" s="2471"/>
      <c r="H198" s="2471"/>
      <c r="I198" s="2471"/>
      <c r="J198" s="2471"/>
      <c r="K198" s="2471"/>
      <c r="L198" s="2471"/>
      <c r="M198" s="2471"/>
      <c r="N198" s="2471"/>
      <c r="O198" s="2471"/>
      <c r="P198" s="2471"/>
      <c r="Q198" s="2471"/>
      <c r="R198" s="2471"/>
      <c r="S198" s="2471"/>
      <c r="T198" s="2471"/>
      <c r="U198" s="2471"/>
      <c r="V198" s="2471"/>
      <c r="W198" s="2471"/>
      <c r="X198" s="2471"/>
      <c r="Y198" s="2471"/>
      <c r="Z198" s="2471"/>
      <c r="AA198" s="2471"/>
      <c r="AB198" s="2471"/>
      <c r="AC198" s="842"/>
      <c r="AD198" s="2472"/>
      <c r="AE198" s="2472"/>
      <c r="AF198" s="2472"/>
      <c r="AG198" s="2472"/>
      <c r="AH198" s="2472"/>
      <c r="AI198" s="2472"/>
      <c r="AJ198" s="2472"/>
      <c r="AK198" s="608"/>
    </row>
    <row r="199" spans="1:37" hidden="1">
      <c r="A199" s="603"/>
      <c r="B199" s="2471"/>
      <c r="C199" s="2471"/>
      <c r="D199" s="2471"/>
      <c r="E199" s="2471"/>
      <c r="F199" s="2471"/>
      <c r="G199" s="2471"/>
      <c r="H199" s="2471"/>
      <c r="I199" s="2471"/>
      <c r="J199" s="2471"/>
      <c r="K199" s="2471"/>
      <c r="L199" s="2471"/>
      <c r="M199" s="2471"/>
      <c r="N199" s="2471"/>
      <c r="O199" s="2471"/>
      <c r="P199" s="2471"/>
      <c r="Q199" s="2471"/>
      <c r="R199" s="2471"/>
      <c r="S199" s="2471"/>
      <c r="T199" s="2471"/>
      <c r="U199" s="2471"/>
      <c r="V199" s="2471"/>
      <c r="W199" s="2471"/>
      <c r="X199" s="2471"/>
      <c r="Y199" s="2471"/>
      <c r="Z199" s="2471"/>
      <c r="AA199" s="2471"/>
      <c r="AB199" s="2471"/>
      <c r="AC199" s="842"/>
      <c r="AD199" s="2472"/>
      <c r="AE199" s="2472"/>
      <c r="AF199" s="2472"/>
      <c r="AG199" s="2472"/>
      <c r="AH199" s="2472"/>
      <c r="AI199" s="2472"/>
      <c r="AJ199" s="2472"/>
      <c r="AK199" s="608"/>
    </row>
    <row r="200" spans="1:37" hidden="1">
      <c r="A200" s="603"/>
      <c r="B200" s="2471"/>
      <c r="C200" s="2471"/>
      <c r="D200" s="2471"/>
      <c r="E200" s="2471"/>
      <c r="F200" s="2471"/>
      <c r="G200" s="2471"/>
      <c r="H200" s="2471"/>
      <c r="I200" s="2471"/>
      <c r="J200" s="2471"/>
      <c r="K200" s="2471"/>
      <c r="L200" s="2471"/>
      <c r="M200" s="2471"/>
      <c r="N200" s="2471"/>
      <c r="O200" s="2471"/>
      <c r="P200" s="2471"/>
      <c r="Q200" s="2471"/>
      <c r="R200" s="2471"/>
      <c r="S200" s="2471"/>
      <c r="T200" s="2471"/>
      <c r="U200" s="2471"/>
      <c r="V200" s="2471"/>
      <c r="W200" s="2471"/>
      <c r="X200" s="2471"/>
      <c r="Y200" s="2471"/>
      <c r="Z200" s="2471"/>
      <c r="AA200" s="2471"/>
      <c r="AB200" s="2471"/>
      <c r="AC200" s="842"/>
      <c r="AD200" s="2472"/>
      <c r="AE200" s="2472"/>
      <c r="AF200" s="2472"/>
      <c r="AG200" s="2472"/>
      <c r="AH200" s="2472"/>
      <c r="AI200" s="2472"/>
      <c r="AJ200" s="2472"/>
      <c r="AK200" s="608"/>
    </row>
    <row r="201" spans="1:37" hidden="1">
      <c r="A201" s="603"/>
      <c r="B201" s="2471"/>
      <c r="C201" s="2471"/>
      <c r="D201" s="2471"/>
      <c r="E201" s="2471"/>
      <c r="F201" s="2471"/>
      <c r="G201" s="2471"/>
      <c r="H201" s="2471"/>
      <c r="I201" s="2471"/>
      <c r="J201" s="2471"/>
      <c r="K201" s="2471"/>
      <c r="L201" s="2471"/>
      <c r="M201" s="2471"/>
      <c r="N201" s="2471"/>
      <c r="O201" s="2471"/>
      <c r="P201" s="2471"/>
      <c r="Q201" s="2471"/>
      <c r="R201" s="2471"/>
      <c r="S201" s="2471"/>
      <c r="T201" s="2471"/>
      <c r="U201" s="2471"/>
      <c r="V201" s="2471"/>
      <c r="W201" s="2471"/>
      <c r="X201" s="2471"/>
      <c r="Y201" s="2471"/>
      <c r="Z201" s="2471"/>
      <c r="AA201" s="2471"/>
      <c r="AB201" s="2471"/>
      <c r="AC201" s="842"/>
      <c r="AD201" s="2472"/>
      <c r="AE201" s="2472"/>
      <c r="AF201" s="2472"/>
      <c r="AG201" s="2472"/>
      <c r="AH201" s="2472"/>
      <c r="AI201" s="2472"/>
      <c r="AJ201" s="2472"/>
      <c r="AK201" s="608"/>
    </row>
    <row r="202" spans="1:37" hidden="1">
      <c r="A202" s="603"/>
      <c r="B202" s="2471"/>
      <c r="C202" s="2471"/>
      <c r="D202" s="2471"/>
      <c r="E202" s="2471"/>
      <c r="F202" s="2471"/>
      <c r="G202" s="2471"/>
      <c r="H202" s="2471"/>
      <c r="I202" s="2471"/>
      <c r="J202" s="2471"/>
      <c r="K202" s="2471"/>
      <c r="L202" s="2471"/>
      <c r="M202" s="2471"/>
      <c r="N202" s="2471"/>
      <c r="O202" s="2471"/>
      <c r="P202" s="2471"/>
      <c r="Q202" s="2471"/>
      <c r="R202" s="2471"/>
      <c r="S202" s="2471"/>
      <c r="T202" s="2471"/>
      <c r="U202" s="2471"/>
      <c r="V202" s="2471"/>
      <c r="W202" s="2471"/>
      <c r="X202" s="2471"/>
      <c r="Y202" s="2471"/>
      <c r="Z202" s="2471"/>
      <c r="AA202" s="2471"/>
      <c r="AB202" s="2471"/>
      <c r="AC202" s="842"/>
      <c r="AD202" s="2472"/>
      <c r="AE202" s="2472"/>
      <c r="AF202" s="2472"/>
      <c r="AG202" s="2472"/>
      <c r="AH202" s="2472"/>
      <c r="AI202" s="2472"/>
      <c r="AJ202" s="2472"/>
      <c r="AK202" s="608"/>
    </row>
    <row r="203" spans="1:37" hidden="1">
      <c r="A203" s="603"/>
      <c r="B203" s="2471"/>
      <c r="C203" s="2471"/>
      <c r="D203" s="2471"/>
      <c r="E203" s="2471"/>
      <c r="F203" s="2471"/>
      <c r="G203" s="2471"/>
      <c r="H203" s="2471"/>
      <c r="I203" s="2471"/>
      <c r="J203" s="2471"/>
      <c r="K203" s="2471"/>
      <c r="L203" s="2471"/>
      <c r="M203" s="2471"/>
      <c r="N203" s="2471"/>
      <c r="O203" s="2471"/>
      <c r="P203" s="2471"/>
      <c r="Q203" s="2471"/>
      <c r="R203" s="2471"/>
      <c r="S203" s="2471"/>
      <c r="T203" s="2471"/>
      <c r="U203" s="2471"/>
      <c r="V203" s="2471"/>
      <c r="W203" s="2471"/>
      <c r="X203" s="2471"/>
      <c r="Y203" s="2471"/>
      <c r="Z203" s="2471"/>
      <c r="AA203" s="2471"/>
      <c r="AB203" s="2471"/>
      <c r="AC203" s="842"/>
      <c r="AD203" s="2472"/>
      <c r="AE203" s="2472"/>
      <c r="AF203" s="2472"/>
      <c r="AG203" s="2472"/>
      <c r="AH203" s="2472"/>
      <c r="AI203" s="2472"/>
      <c r="AJ203" s="2472"/>
      <c r="AK203" s="608"/>
    </row>
    <row r="204" spans="1:37" hidden="1">
      <c r="A204" s="603"/>
      <c r="B204" s="2471"/>
      <c r="C204" s="2471"/>
      <c r="D204" s="2471"/>
      <c r="E204" s="2471"/>
      <c r="F204" s="2471"/>
      <c r="G204" s="2471"/>
      <c r="H204" s="2471"/>
      <c r="I204" s="2471"/>
      <c r="J204" s="2471"/>
      <c r="K204" s="2471"/>
      <c r="L204" s="2471"/>
      <c r="M204" s="2471"/>
      <c r="N204" s="2471"/>
      <c r="O204" s="2471"/>
      <c r="P204" s="2471"/>
      <c r="Q204" s="2471"/>
      <c r="R204" s="2471"/>
      <c r="S204" s="2471"/>
      <c r="T204" s="2471"/>
      <c r="U204" s="2471"/>
      <c r="V204" s="2471"/>
      <c r="W204" s="2471"/>
      <c r="X204" s="2471"/>
      <c r="Y204" s="2471"/>
      <c r="Z204" s="2471"/>
      <c r="AA204" s="2471"/>
      <c r="AB204" s="2471"/>
      <c r="AC204" s="842"/>
      <c r="AD204" s="2472"/>
      <c r="AE204" s="2472"/>
      <c r="AF204" s="2472"/>
      <c r="AG204" s="2472"/>
      <c r="AH204" s="2472"/>
      <c r="AI204" s="2472"/>
      <c r="AJ204" s="2472"/>
      <c r="AK204" s="608"/>
    </row>
    <row r="205" spans="1:37" hidden="1">
      <c r="A205" s="603"/>
      <c r="B205" s="2471"/>
      <c r="C205" s="2471"/>
      <c r="D205" s="2471"/>
      <c r="E205" s="2471"/>
      <c r="F205" s="2471"/>
      <c r="G205" s="2471"/>
      <c r="H205" s="2471"/>
      <c r="I205" s="2471"/>
      <c r="J205" s="2471"/>
      <c r="K205" s="2471"/>
      <c r="L205" s="2471"/>
      <c r="M205" s="2471"/>
      <c r="N205" s="2471"/>
      <c r="O205" s="2471"/>
      <c r="P205" s="2471"/>
      <c r="Q205" s="2471"/>
      <c r="R205" s="2471"/>
      <c r="S205" s="2471"/>
      <c r="T205" s="2471"/>
      <c r="U205" s="2471"/>
      <c r="V205" s="2471"/>
      <c r="W205" s="2471"/>
      <c r="X205" s="2471"/>
      <c r="Y205" s="2471"/>
      <c r="Z205" s="2471"/>
      <c r="AA205" s="2471"/>
      <c r="AB205" s="2471"/>
      <c r="AC205" s="842"/>
      <c r="AD205" s="2472"/>
      <c r="AE205" s="2472"/>
      <c r="AF205" s="2472"/>
      <c r="AG205" s="2472"/>
      <c r="AH205" s="2472"/>
      <c r="AI205" s="2472"/>
      <c r="AJ205" s="2472"/>
      <c r="AK205" s="608"/>
    </row>
    <row r="206" spans="1:37" hidden="1">
      <c r="A206" s="603"/>
      <c r="B206" s="2471"/>
      <c r="C206" s="2471"/>
      <c r="D206" s="2471"/>
      <c r="E206" s="2471"/>
      <c r="F206" s="2471"/>
      <c r="G206" s="2471"/>
      <c r="H206" s="2471"/>
      <c r="I206" s="2471"/>
      <c r="J206" s="2471"/>
      <c r="K206" s="2471"/>
      <c r="L206" s="2471"/>
      <c r="M206" s="2471"/>
      <c r="N206" s="2471"/>
      <c r="O206" s="2471"/>
      <c r="P206" s="2471"/>
      <c r="Q206" s="2471"/>
      <c r="R206" s="2471"/>
      <c r="S206" s="2471"/>
      <c r="T206" s="2471"/>
      <c r="U206" s="2471"/>
      <c r="V206" s="2471"/>
      <c r="W206" s="2471"/>
      <c r="X206" s="2471"/>
      <c r="Y206" s="2471"/>
      <c r="Z206" s="2471"/>
      <c r="AA206" s="2471"/>
      <c r="AB206" s="2471"/>
      <c r="AC206" s="842"/>
      <c r="AD206" s="2472"/>
      <c r="AE206" s="2472"/>
      <c r="AF206" s="2472"/>
      <c r="AG206" s="2472"/>
      <c r="AH206" s="2472"/>
      <c r="AI206" s="2472"/>
      <c r="AJ206" s="2472"/>
      <c r="AK206" s="608"/>
    </row>
    <row r="207" spans="1:37" hidden="1">
      <c r="A207" s="603"/>
      <c r="B207" s="2471"/>
      <c r="C207" s="2471"/>
      <c r="D207" s="2471"/>
      <c r="E207" s="2471"/>
      <c r="F207" s="2471"/>
      <c r="G207" s="2471"/>
      <c r="H207" s="2471"/>
      <c r="I207" s="2471"/>
      <c r="J207" s="2471"/>
      <c r="K207" s="2471"/>
      <c r="L207" s="2471"/>
      <c r="M207" s="2471"/>
      <c r="N207" s="2471"/>
      <c r="O207" s="2471"/>
      <c r="P207" s="2471"/>
      <c r="Q207" s="2471"/>
      <c r="R207" s="2471"/>
      <c r="S207" s="2471"/>
      <c r="T207" s="2471"/>
      <c r="U207" s="2471"/>
      <c r="V207" s="2471"/>
      <c r="W207" s="2471"/>
      <c r="X207" s="2471"/>
      <c r="Y207" s="2471"/>
      <c r="Z207" s="2471"/>
      <c r="AA207" s="2471"/>
      <c r="AB207" s="2471"/>
      <c r="AC207" s="842"/>
      <c r="AD207" s="2472"/>
      <c r="AE207" s="2472"/>
      <c r="AF207" s="2472"/>
      <c r="AG207" s="2472"/>
      <c r="AH207" s="2472"/>
      <c r="AI207" s="2472"/>
      <c r="AJ207" s="2472"/>
      <c r="AK207" s="608"/>
    </row>
    <row r="208" spans="1:37" hidden="1">
      <c r="A208" s="603"/>
      <c r="B208" s="2518" t="s">
        <v>1615</v>
      </c>
      <c r="C208" s="2518"/>
      <c r="D208" s="2518"/>
      <c r="E208" s="2518"/>
      <c r="F208" s="2518"/>
      <c r="G208" s="2518"/>
      <c r="H208" s="2518"/>
      <c r="I208" s="2518"/>
      <c r="J208" s="2518"/>
      <c r="K208" s="2518"/>
      <c r="L208" s="2518"/>
      <c r="M208" s="2518"/>
      <c r="N208" s="2518"/>
      <c r="O208" s="2518"/>
      <c r="P208" s="2518"/>
      <c r="Q208" s="2518"/>
      <c r="R208" s="2518"/>
      <c r="S208" s="2518"/>
      <c r="T208" s="2518"/>
      <c r="U208" s="2518"/>
      <c r="V208" s="2518"/>
      <c r="W208" s="2518"/>
      <c r="X208" s="2518"/>
      <c r="Y208" s="2518"/>
      <c r="Z208" s="2518"/>
      <c r="AA208" s="2518"/>
      <c r="AB208" s="2518"/>
      <c r="AC208" s="536"/>
      <c r="AD208" s="2501">
        <f>AB259</f>
        <v>0</v>
      </c>
      <c r="AE208" s="2501"/>
      <c r="AF208" s="2501"/>
      <c r="AG208" s="2501"/>
      <c r="AH208" s="2501"/>
      <c r="AI208" s="2501"/>
      <c r="AJ208" s="2501"/>
      <c r="AK208" s="608"/>
    </row>
    <row r="209" spans="1:37" hidden="1">
      <c r="A209" s="603"/>
      <c r="B209" s="2656" t="s">
        <v>1578</v>
      </c>
      <c r="C209" s="2656"/>
      <c r="D209" s="2656"/>
      <c r="E209" s="2656"/>
      <c r="F209" s="2656"/>
      <c r="G209" s="2656"/>
      <c r="H209" s="2656"/>
      <c r="I209" s="2656"/>
      <c r="J209" s="2656"/>
      <c r="K209" s="2656"/>
      <c r="L209" s="2656"/>
      <c r="M209" s="2656"/>
      <c r="N209" s="2656"/>
      <c r="O209" s="2656"/>
      <c r="P209" s="2656"/>
      <c r="Q209" s="2656"/>
      <c r="R209" s="2656"/>
      <c r="S209" s="2656"/>
      <c r="T209" s="2656"/>
      <c r="U209" s="2656"/>
      <c r="V209" s="2656"/>
      <c r="W209" s="2656"/>
      <c r="X209" s="2656"/>
      <c r="Y209" s="2656"/>
      <c r="Z209" s="2656"/>
      <c r="AA209" s="2656"/>
      <c r="AB209" s="2656"/>
      <c r="AC209" s="842"/>
      <c r="AD209" s="2502">
        <f>'Sources and Uses Budget'!B15</f>
        <v>0</v>
      </c>
      <c r="AE209" s="2502"/>
      <c r="AF209" s="2502"/>
      <c r="AG209" s="2502"/>
      <c r="AH209" s="2502"/>
      <c r="AI209" s="2502"/>
      <c r="AJ209" s="2502"/>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06">
        <f>SUM(AD198:AJ208)-AD209</f>
        <v>0</v>
      </c>
      <c r="AE210" s="2506"/>
      <c r="AF210" s="2506"/>
      <c r="AG210" s="2506"/>
      <c r="AH210" s="2506"/>
      <c r="AI210" s="2506"/>
      <c r="AJ210" s="250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75" t="s">
        <v>1595</v>
      </c>
      <c r="J221" s="2475"/>
      <c r="K221" s="2475"/>
      <c r="L221" s="536"/>
      <c r="M221" s="536"/>
      <c r="N221" s="536"/>
      <c r="O221" s="536"/>
      <c r="P221" s="536"/>
      <c r="Q221" s="536"/>
      <c r="R221" s="536"/>
      <c r="S221" s="536"/>
      <c r="T221" s="2643" t="s">
        <v>1589</v>
      </c>
      <c r="U221" s="2643"/>
      <c r="V221" s="2643"/>
      <c r="W221" s="2643"/>
      <c r="X221" s="2643"/>
      <c r="Y221" s="2643"/>
      <c r="Z221" s="845"/>
      <c r="AA221" s="489"/>
      <c r="AB221" s="2470" t="s">
        <v>1590</v>
      </c>
      <c r="AC221" s="2470"/>
      <c r="AD221" s="2470"/>
      <c r="AE221" s="2470"/>
      <c r="AF221" s="2470"/>
      <c r="AG221" s="2470"/>
      <c r="AH221" s="823"/>
      <c r="AI221" s="823"/>
      <c r="AJ221" s="823"/>
      <c r="AK221" s="608"/>
    </row>
    <row r="222" spans="1:37" hidden="1">
      <c r="A222" s="603"/>
      <c r="B222" s="2473" t="s">
        <v>1575</v>
      </c>
      <c r="C222" s="2473"/>
      <c r="D222" s="2473"/>
      <c r="E222" s="2473"/>
      <c r="F222" s="2473"/>
      <c r="G222" s="2473"/>
      <c r="I222" s="2474" t="s">
        <v>1596</v>
      </c>
      <c r="J222" s="2474"/>
      <c r="K222" s="2474"/>
      <c r="L222" s="1003"/>
      <c r="N222" s="2464" t="s">
        <v>1591</v>
      </c>
      <c r="O222" s="2464"/>
      <c r="P222" s="2464"/>
      <c r="Q222" s="2464"/>
      <c r="R222" s="2464"/>
      <c r="T222" s="2464" t="s">
        <v>1592</v>
      </c>
      <c r="U222" s="2464"/>
      <c r="V222" s="2464"/>
      <c r="W222" s="2464"/>
      <c r="X222" s="2464"/>
      <c r="Y222" s="2464"/>
      <c r="Z222" s="846"/>
      <c r="AA222" s="489"/>
      <c r="AB222" s="2622" t="s">
        <v>1593</v>
      </c>
      <c r="AC222" s="2622"/>
      <c r="AD222" s="2622"/>
      <c r="AE222" s="2622"/>
      <c r="AF222" s="2622"/>
      <c r="AG222" s="2622"/>
      <c r="AH222" s="823"/>
      <c r="AI222" s="823"/>
      <c r="AJ222" s="823"/>
      <c r="AK222" s="608"/>
    </row>
    <row r="223" spans="1:37" hidden="1">
      <c r="A223" s="603"/>
      <c r="B223" s="2476" t="s">
        <v>1183</v>
      </c>
      <c r="C223" s="2476"/>
      <c r="D223" s="2476"/>
      <c r="E223" s="2476"/>
      <c r="F223" s="2476"/>
      <c r="G223" s="2476"/>
      <c r="H223" s="848"/>
      <c r="I223" s="2462"/>
      <c r="J223" s="2462"/>
      <c r="K223" s="2462"/>
      <c r="L223" s="1003"/>
      <c r="N223" s="2517"/>
      <c r="O223" s="2517"/>
      <c r="P223" s="2517"/>
      <c r="Q223" s="2517"/>
      <c r="R223" s="2517"/>
      <c r="T223" s="2621"/>
      <c r="U223" s="2621"/>
      <c r="V223" s="2621"/>
      <c r="W223" s="2621"/>
      <c r="X223" s="2621"/>
      <c r="Y223" s="2621"/>
      <c r="Z223" s="847"/>
      <c r="AA223" s="847"/>
      <c r="AB223" s="2461">
        <f t="shared" ref="AB223:AB232" si="0">MAX(($T223-$N223)*$I223*12,0)</f>
        <v>0</v>
      </c>
      <c r="AC223" s="2461"/>
      <c r="AD223" s="2461"/>
      <c r="AE223" s="2461"/>
      <c r="AF223" s="2461"/>
      <c r="AG223" s="2461"/>
      <c r="AH223" s="823"/>
      <c r="AI223" s="823"/>
      <c r="AJ223" s="823"/>
      <c r="AK223" s="608"/>
    </row>
    <row r="224" spans="1:37" hidden="1">
      <c r="A224" s="603"/>
      <c r="B224" s="2476" t="s">
        <v>1183</v>
      </c>
      <c r="C224" s="2476"/>
      <c r="D224" s="2476"/>
      <c r="E224" s="2476"/>
      <c r="F224" s="2476"/>
      <c r="G224" s="2476"/>
      <c r="I224" s="2462"/>
      <c r="J224" s="2462"/>
      <c r="K224" s="2462"/>
      <c r="L224" s="1003"/>
      <c r="N224" s="2517"/>
      <c r="O224" s="2517"/>
      <c r="P224" s="2517"/>
      <c r="Q224" s="2517"/>
      <c r="R224" s="2517"/>
      <c r="T224" s="2621"/>
      <c r="U224" s="2621"/>
      <c r="V224" s="2621"/>
      <c r="W224" s="2621"/>
      <c r="X224" s="2621"/>
      <c r="Y224" s="2621"/>
      <c r="Z224" s="847"/>
      <c r="AA224" s="847"/>
      <c r="AB224" s="2461">
        <f t="shared" si="0"/>
        <v>0</v>
      </c>
      <c r="AC224" s="2461"/>
      <c r="AD224" s="2461"/>
      <c r="AE224" s="2461"/>
      <c r="AF224" s="2461"/>
      <c r="AG224" s="2461"/>
      <c r="AH224" s="823"/>
      <c r="AI224" s="823"/>
      <c r="AJ224" s="823"/>
      <c r="AK224" s="608"/>
    </row>
    <row r="225" spans="1:37" hidden="1">
      <c r="A225" s="603"/>
      <c r="B225" s="2476" t="s">
        <v>1183</v>
      </c>
      <c r="C225" s="2476"/>
      <c r="D225" s="2476"/>
      <c r="E225" s="2476"/>
      <c r="F225" s="2476"/>
      <c r="G225" s="2476"/>
      <c r="I225" s="2462"/>
      <c r="J225" s="2462"/>
      <c r="K225" s="2462"/>
      <c r="L225" s="1003"/>
      <c r="N225" s="2517"/>
      <c r="O225" s="2517"/>
      <c r="P225" s="2517"/>
      <c r="Q225" s="2517"/>
      <c r="R225" s="2517"/>
      <c r="T225" s="2621"/>
      <c r="U225" s="2621"/>
      <c r="V225" s="2621"/>
      <c r="W225" s="2621"/>
      <c r="X225" s="2621"/>
      <c r="Y225" s="2621"/>
      <c r="Z225" s="847"/>
      <c r="AA225" s="847"/>
      <c r="AB225" s="2461">
        <f t="shared" si="0"/>
        <v>0</v>
      </c>
      <c r="AC225" s="2461"/>
      <c r="AD225" s="2461"/>
      <c r="AE225" s="2461"/>
      <c r="AF225" s="2461"/>
      <c r="AG225" s="2461"/>
      <c r="AH225" s="823"/>
      <c r="AI225" s="823"/>
      <c r="AJ225" s="823"/>
      <c r="AK225" s="608"/>
    </row>
    <row r="226" spans="1:37" hidden="1">
      <c r="A226" s="603"/>
      <c r="B226" s="2476" t="s">
        <v>1183</v>
      </c>
      <c r="C226" s="2476"/>
      <c r="D226" s="2476"/>
      <c r="E226" s="2476"/>
      <c r="F226" s="2476"/>
      <c r="G226" s="2476"/>
      <c r="I226" s="2462"/>
      <c r="J226" s="2462"/>
      <c r="K226" s="2462"/>
      <c r="L226" s="1003"/>
      <c r="N226" s="2517"/>
      <c r="O226" s="2517"/>
      <c r="P226" s="2517"/>
      <c r="Q226" s="2517"/>
      <c r="R226" s="2517"/>
      <c r="T226" s="2621"/>
      <c r="U226" s="2621"/>
      <c r="V226" s="2621"/>
      <c r="W226" s="2621"/>
      <c r="X226" s="2621"/>
      <c r="Y226" s="2621"/>
      <c r="Z226" s="847"/>
      <c r="AA226" s="847"/>
      <c r="AB226" s="2461">
        <f t="shared" si="0"/>
        <v>0</v>
      </c>
      <c r="AC226" s="2461"/>
      <c r="AD226" s="2461"/>
      <c r="AE226" s="2461"/>
      <c r="AF226" s="2461"/>
      <c r="AG226" s="2461"/>
      <c r="AH226" s="823"/>
      <c r="AI226" s="823"/>
      <c r="AJ226" s="823"/>
      <c r="AK226" s="608"/>
    </row>
    <row r="227" spans="1:37" hidden="1">
      <c r="A227" s="603"/>
      <c r="B227" s="2476" t="s">
        <v>1183</v>
      </c>
      <c r="C227" s="2476"/>
      <c r="D227" s="2476"/>
      <c r="E227" s="2476"/>
      <c r="F227" s="2476"/>
      <c r="G227" s="2476"/>
      <c r="I227" s="2462"/>
      <c r="J227" s="2462"/>
      <c r="K227" s="2462"/>
      <c r="L227" s="1010"/>
      <c r="N227" s="2517"/>
      <c r="O227" s="2517"/>
      <c r="P227" s="2517"/>
      <c r="Q227" s="2517"/>
      <c r="R227" s="2517"/>
      <c r="T227" s="2621"/>
      <c r="U227" s="2621"/>
      <c r="V227" s="2621"/>
      <c r="W227" s="2621"/>
      <c r="X227" s="2621"/>
      <c r="Y227" s="2621"/>
      <c r="Z227" s="847"/>
      <c r="AA227" s="847"/>
      <c r="AB227" s="2461">
        <f t="shared" si="0"/>
        <v>0</v>
      </c>
      <c r="AC227" s="2461"/>
      <c r="AD227" s="2461"/>
      <c r="AE227" s="2461"/>
      <c r="AF227" s="2461"/>
      <c r="AG227" s="2461"/>
      <c r="AH227" s="823"/>
      <c r="AI227" s="823"/>
      <c r="AJ227" s="823"/>
      <c r="AK227" s="608"/>
    </row>
    <row r="228" spans="1:37" hidden="1">
      <c r="A228" s="603"/>
      <c r="B228" s="2476" t="s">
        <v>1183</v>
      </c>
      <c r="C228" s="2476"/>
      <c r="D228" s="2476"/>
      <c r="E228" s="2476"/>
      <c r="F228" s="2476"/>
      <c r="G228" s="2476"/>
      <c r="I228" s="2462"/>
      <c r="J228" s="2462"/>
      <c r="K228" s="2462"/>
      <c r="L228" s="1010"/>
      <c r="N228" s="2517"/>
      <c r="O228" s="2517"/>
      <c r="P228" s="2517"/>
      <c r="Q228" s="2517"/>
      <c r="R228" s="2517"/>
      <c r="T228" s="2621"/>
      <c r="U228" s="2621"/>
      <c r="V228" s="2621"/>
      <c r="W228" s="2621"/>
      <c r="X228" s="2621"/>
      <c r="Y228" s="2621"/>
      <c r="Z228" s="847"/>
      <c r="AA228" s="847"/>
      <c r="AB228" s="2461">
        <f t="shared" si="0"/>
        <v>0</v>
      </c>
      <c r="AC228" s="2461"/>
      <c r="AD228" s="2461"/>
      <c r="AE228" s="2461"/>
      <c r="AF228" s="2461"/>
      <c r="AG228" s="2461"/>
      <c r="AH228" s="823"/>
      <c r="AI228" s="823"/>
      <c r="AJ228" s="823"/>
      <c r="AK228" s="608"/>
    </row>
    <row r="229" spans="1:37" hidden="1">
      <c r="A229" s="603"/>
      <c r="B229" s="2476" t="s">
        <v>1183</v>
      </c>
      <c r="C229" s="2476"/>
      <c r="D229" s="2476"/>
      <c r="E229" s="2476"/>
      <c r="F229" s="2476"/>
      <c r="G229" s="2476"/>
      <c r="I229" s="2462"/>
      <c r="J229" s="2462"/>
      <c r="K229" s="2462"/>
      <c r="L229" s="1010"/>
      <c r="N229" s="2517"/>
      <c r="O229" s="2517"/>
      <c r="P229" s="2517"/>
      <c r="Q229" s="2517"/>
      <c r="R229" s="2517"/>
      <c r="T229" s="2621"/>
      <c r="U229" s="2621"/>
      <c r="V229" s="2621"/>
      <c r="W229" s="2621"/>
      <c r="X229" s="2621"/>
      <c r="Y229" s="2621"/>
      <c r="Z229" s="847"/>
      <c r="AA229" s="847"/>
      <c r="AB229" s="2461">
        <f t="shared" si="0"/>
        <v>0</v>
      </c>
      <c r="AC229" s="2461"/>
      <c r="AD229" s="2461"/>
      <c r="AE229" s="2461"/>
      <c r="AF229" s="2461"/>
      <c r="AG229" s="2461"/>
      <c r="AH229" s="823"/>
      <c r="AI229" s="823"/>
      <c r="AJ229" s="823"/>
      <c r="AK229" s="608"/>
    </row>
    <row r="230" spans="1:37" hidden="1">
      <c r="A230" s="603"/>
      <c r="B230" s="2476" t="s">
        <v>1183</v>
      </c>
      <c r="C230" s="2476"/>
      <c r="D230" s="2476"/>
      <c r="E230" s="2476"/>
      <c r="F230" s="2476"/>
      <c r="G230" s="2476"/>
      <c r="I230" s="2462"/>
      <c r="J230" s="2462"/>
      <c r="K230" s="2462"/>
      <c r="L230" s="1010"/>
      <c r="N230" s="2517"/>
      <c r="O230" s="2517"/>
      <c r="P230" s="2517"/>
      <c r="Q230" s="2517"/>
      <c r="R230" s="2517"/>
      <c r="T230" s="2621"/>
      <c r="U230" s="2621"/>
      <c r="V230" s="2621"/>
      <c r="W230" s="2621"/>
      <c r="X230" s="2621"/>
      <c r="Y230" s="2621"/>
      <c r="Z230" s="847"/>
      <c r="AA230" s="847"/>
      <c r="AB230" s="2461">
        <f t="shared" si="0"/>
        <v>0</v>
      </c>
      <c r="AC230" s="2461"/>
      <c r="AD230" s="2461"/>
      <c r="AE230" s="2461"/>
      <c r="AF230" s="2461"/>
      <c r="AG230" s="2461"/>
      <c r="AH230" s="823"/>
      <c r="AI230" s="823"/>
      <c r="AJ230" s="823"/>
      <c r="AK230" s="608"/>
    </row>
    <row r="231" spans="1:37" hidden="1">
      <c r="A231" s="603"/>
      <c r="B231" s="2476" t="s">
        <v>1183</v>
      </c>
      <c r="C231" s="2476"/>
      <c r="D231" s="2476"/>
      <c r="E231" s="2476"/>
      <c r="F231" s="2476"/>
      <c r="G231" s="2476"/>
      <c r="I231" s="2462"/>
      <c r="J231" s="2462"/>
      <c r="K231" s="2462"/>
      <c r="L231" s="1010"/>
      <c r="N231" s="2517"/>
      <c r="O231" s="2517"/>
      <c r="P231" s="2517"/>
      <c r="Q231" s="2517"/>
      <c r="R231" s="2517"/>
      <c r="T231" s="2621"/>
      <c r="U231" s="2621"/>
      <c r="V231" s="2621"/>
      <c r="W231" s="2621"/>
      <c r="X231" s="2621"/>
      <c r="Y231" s="2621"/>
      <c r="Z231" s="847"/>
      <c r="AA231" s="847"/>
      <c r="AB231" s="2461">
        <f t="shared" si="0"/>
        <v>0</v>
      </c>
      <c r="AC231" s="2461"/>
      <c r="AD231" s="2461"/>
      <c r="AE231" s="2461"/>
      <c r="AF231" s="2461"/>
      <c r="AG231" s="2461"/>
      <c r="AH231" s="823"/>
      <c r="AI231" s="823"/>
      <c r="AJ231" s="823"/>
      <c r="AK231" s="608"/>
    </row>
    <row r="232" spans="1:37" hidden="1">
      <c r="A232" s="603"/>
      <c r="B232" s="2476" t="s">
        <v>1183</v>
      </c>
      <c r="C232" s="2476"/>
      <c r="D232" s="2476"/>
      <c r="E232" s="2476"/>
      <c r="F232" s="2476"/>
      <c r="G232" s="2476"/>
      <c r="I232" s="2463"/>
      <c r="J232" s="2463"/>
      <c r="K232" s="2463"/>
      <c r="L232" s="1010"/>
      <c r="N232" s="2517"/>
      <c r="O232" s="2517"/>
      <c r="P232" s="2517"/>
      <c r="Q232" s="2517"/>
      <c r="R232" s="2517"/>
      <c r="T232" s="2621"/>
      <c r="U232" s="2621"/>
      <c r="V232" s="2621"/>
      <c r="W232" s="2621"/>
      <c r="X232" s="2621"/>
      <c r="Y232" s="2621"/>
      <c r="Z232" s="847"/>
      <c r="AA232" s="847"/>
      <c r="AB232" s="2630">
        <f t="shared" si="0"/>
        <v>0</v>
      </c>
      <c r="AC232" s="2630"/>
      <c r="AD232" s="2630"/>
      <c r="AE232" s="2630"/>
      <c r="AF232" s="2630"/>
      <c r="AG232" s="263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61">
        <f>SUM(AB223:AB232)</f>
        <v>0</v>
      </c>
      <c r="AC233" s="2461"/>
      <c r="AD233" s="2461"/>
      <c r="AE233" s="2461"/>
      <c r="AF233" s="2461"/>
      <c r="AG233" s="2461"/>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31"/>
      <c r="AC239" s="2631"/>
      <c r="AD239" s="2631"/>
      <c r="AE239" s="2631"/>
      <c r="AF239" s="2631"/>
      <c r="AG239" s="263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31"/>
      <c r="AC242" s="2631"/>
      <c r="AD242" s="2631"/>
      <c r="AE242" s="2631"/>
      <c r="AF242" s="2631"/>
      <c r="AG242" s="263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42"/>
      <c r="AC243" s="2642"/>
      <c r="AD243" s="2642"/>
      <c r="AE243" s="2642"/>
      <c r="AF243" s="2642"/>
      <c r="AG243" s="264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55">
        <f>IFERROR(AB242/AB243,0)</f>
        <v>0</v>
      </c>
      <c r="AC244" s="2655"/>
      <c r="AD244" s="2655"/>
      <c r="AE244" s="2655"/>
      <c r="AF244" s="2655"/>
      <c r="AG244" s="265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30">
        <f>MAX(AB239,AB244)</f>
        <v>0</v>
      </c>
      <c r="AC246" s="2630"/>
      <c r="AD246" s="2630"/>
      <c r="AE246" s="2630"/>
      <c r="AF246" s="2630"/>
      <c r="AG246" s="263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61">
        <f>AB233+AB246</f>
        <v>0</v>
      </c>
      <c r="AC249" s="2461"/>
      <c r="AD249" s="2461"/>
      <c r="AE249" s="2461"/>
      <c r="AF249" s="2461"/>
      <c r="AG249" s="2461"/>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10">
        <v>0.05</v>
      </c>
      <c r="AC250" s="2510"/>
      <c r="AD250" s="2510"/>
      <c r="AE250" s="2510"/>
      <c r="AF250" s="2510"/>
      <c r="AG250" s="251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11">
        <f>AB249-(AB249*AB250)</f>
        <v>0</v>
      </c>
      <c r="AC251" s="2511"/>
      <c r="AD251" s="2511"/>
      <c r="AE251" s="2511"/>
      <c r="AF251" s="2511"/>
      <c r="AG251" s="251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61">
        <f>AB251/AB257</f>
        <v>0</v>
      </c>
      <c r="AC253" s="2461"/>
      <c r="AD253" s="2461"/>
      <c r="AE253" s="2461"/>
      <c r="AF253" s="2461"/>
      <c r="AG253" s="2461"/>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70">
        <v>15</v>
      </c>
      <c r="AC255" s="2470"/>
      <c r="AD255" s="2470"/>
      <c r="AE255" s="2470"/>
      <c r="AF255" s="2470"/>
      <c r="AG255" s="2470"/>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12">
        <v>0.04</v>
      </c>
      <c r="AC256" s="2512"/>
      <c r="AD256" s="2512"/>
      <c r="AE256" s="2512"/>
      <c r="AF256" s="2512"/>
      <c r="AG256" s="2512"/>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19">
        <v>1.1499999999999999</v>
      </c>
      <c r="AC257" s="2519"/>
      <c r="AD257" s="2519"/>
      <c r="AE257" s="2519"/>
      <c r="AF257" s="2519"/>
      <c r="AG257" s="251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03">
        <f>PV(AB256/12,AB255*12,-AB253/12, ,0)</f>
        <v>0</v>
      </c>
      <c r="AC259" s="2504"/>
      <c r="AD259" s="2504"/>
      <c r="AE259" s="2504"/>
      <c r="AF259" s="2504"/>
      <c r="AG259" s="250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07">
        <f>IFERROR(('Sources and Uses Budget'!D105/'Sources and Uses Budget'!B105),0)</f>
        <v>0</v>
      </c>
      <c r="AC265" s="2508"/>
      <c r="AD265" s="2508"/>
      <c r="AE265" s="2508"/>
      <c r="AF265" s="2508"/>
      <c r="AG265" s="250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97">
        <f>AD210*(1-AB265)</f>
        <v>0</v>
      </c>
      <c r="AH267" s="2497"/>
      <c r="AI267" s="2497"/>
      <c r="AJ267" s="2497"/>
      <c r="AK267" s="2497"/>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97">
        <f>'Sources and Uses Budget'!C105</f>
        <v>63865236</v>
      </c>
      <c r="AH268" s="2497"/>
      <c r="AI268" s="2497"/>
      <c r="AJ268" s="2497"/>
      <c r="AK268" s="249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98">
        <f>ROUNDDOWN(IF(AND(C305="Yes",AK83=10),((AG267*2)/AG268),AG267/AG268),2)</f>
        <v>0</v>
      </c>
      <c r="AH269" s="2498"/>
      <c r="AI269" s="2498"/>
      <c r="AJ269" s="2498"/>
      <c r="AK269" s="2498"/>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99">
        <f>IFERROR(IF(AG269=0,0,IF((AG269*100)&gt;8,8,(AG269*100))),0)</f>
        <v>0</v>
      </c>
      <c r="AL272" s="2499"/>
      <c r="AM272" s="2500"/>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91" t="s">
        <v>545</v>
      </c>
      <c r="D279" s="2491"/>
      <c r="E279" s="546"/>
      <c r="F279" s="2646" t="s">
        <v>2562</v>
      </c>
      <c r="G279" s="2647"/>
      <c r="H279" s="2647"/>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47"/>
      <c r="AD279" s="2648"/>
      <c r="AE279" s="549"/>
      <c r="AF279" s="633"/>
      <c r="AG279" s="2492" t="s">
        <v>1356</v>
      </c>
      <c r="AH279" s="2492"/>
      <c r="AI279" s="2492"/>
      <c r="AJ279" s="2492"/>
      <c r="AK279" s="549"/>
      <c r="AL279" s="549"/>
      <c r="AM279" s="549"/>
      <c r="AO279" s="549"/>
    </row>
    <row r="280" spans="1:52" ht="13.65" customHeight="1">
      <c r="A280" s="549"/>
      <c r="B280" s="594"/>
      <c r="C280" s="634"/>
      <c r="D280" s="549"/>
      <c r="E280" s="546"/>
      <c r="F280" s="2649"/>
      <c r="G280" s="2650"/>
      <c r="H280" s="2650"/>
      <c r="I280" s="2650"/>
      <c r="J280" s="2650"/>
      <c r="K280" s="2650"/>
      <c r="L280" s="2650"/>
      <c r="M280" s="2650"/>
      <c r="N280" s="2650"/>
      <c r="O280" s="2650"/>
      <c r="P280" s="2650"/>
      <c r="Q280" s="2650"/>
      <c r="R280" s="2650"/>
      <c r="S280" s="2650"/>
      <c r="T280" s="2650"/>
      <c r="U280" s="2650"/>
      <c r="V280" s="2650"/>
      <c r="W280" s="2650"/>
      <c r="X280" s="2650"/>
      <c r="Y280" s="2650"/>
      <c r="Z280" s="2650"/>
      <c r="AA280" s="2650"/>
      <c r="AB280" s="2650"/>
      <c r="AC280" s="2650"/>
      <c r="AD280" s="2651"/>
      <c r="AE280" s="549"/>
      <c r="AF280" s="633"/>
      <c r="AG280" s="633"/>
      <c r="AH280" s="633"/>
      <c r="AI280" s="633"/>
      <c r="AJ280" s="549"/>
      <c r="AK280" s="549"/>
      <c r="AL280" s="549"/>
      <c r="AM280" s="549"/>
      <c r="AO280" s="549"/>
    </row>
    <row r="281" spans="1:52" ht="13.65" customHeight="1">
      <c r="A281" s="549"/>
      <c r="B281" s="594"/>
      <c r="C281" s="634"/>
      <c r="D281" s="549"/>
      <c r="E281" s="546"/>
      <c r="F281" s="2649"/>
      <c r="G281" s="2650"/>
      <c r="H281" s="2650"/>
      <c r="I281" s="2650"/>
      <c r="J281" s="2650"/>
      <c r="K281" s="2650"/>
      <c r="L281" s="2650"/>
      <c r="M281" s="2650"/>
      <c r="N281" s="2650"/>
      <c r="O281" s="2650"/>
      <c r="P281" s="2650"/>
      <c r="Q281" s="2650"/>
      <c r="R281" s="2650"/>
      <c r="S281" s="2650"/>
      <c r="T281" s="2650"/>
      <c r="U281" s="2650"/>
      <c r="V281" s="2650"/>
      <c r="W281" s="2650"/>
      <c r="X281" s="2650"/>
      <c r="Y281" s="2650"/>
      <c r="Z281" s="2650"/>
      <c r="AA281" s="2650"/>
      <c r="AB281" s="2650"/>
      <c r="AC281" s="2650"/>
      <c r="AD281" s="2651"/>
      <c r="AE281" s="549"/>
      <c r="AF281" s="633"/>
      <c r="AG281" s="633"/>
      <c r="AH281" s="633"/>
      <c r="AI281" s="633"/>
      <c r="AJ281" s="549"/>
      <c r="AK281" s="549"/>
      <c r="AL281" s="549"/>
      <c r="AM281" s="549"/>
      <c r="AO281" s="549"/>
    </row>
    <row r="282" spans="1:52" ht="13.65" customHeight="1">
      <c r="A282" s="549"/>
      <c r="B282" s="594"/>
      <c r="C282" s="634"/>
      <c r="D282" s="549"/>
      <c r="E282" s="546"/>
      <c r="F282" s="2649"/>
      <c r="G282" s="2650"/>
      <c r="H282" s="2650"/>
      <c r="I282" s="2650"/>
      <c r="J282" s="2650"/>
      <c r="K282" s="2650"/>
      <c r="L282" s="2650"/>
      <c r="M282" s="2650"/>
      <c r="N282" s="2650"/>
      <c r="O282" s="2650"/>
      <c r="P282" s="2650"/>
      <c r="Q282" s="2650"/>
      <c r="R282" s="2650"/>
      <c r="S282" s="2650"/>
      <c r="T282" s="2650"/>
      <c r="U282" s="2650"/>
      <c r="V282" s="2650"/>
      <c r="W282" s="2650"/>
      <c r="X282" s="2650"/>
      <c r="Y282" s="2650"/>
      <c r="Z282" s="2650"/>
      <c r="AA282" s="2650"/>
      <c r="AB282" s="2650"/>
      <c r="AC282" s="2650"/>
      <c r="AD282" s="2651"/>
      <c r="AE282" s="549"/>
      <c r="AF282" s="633"/>
      <c r="AG282" s="633"/>
      <c r="AH282" s="633"/>
      <c r="AI282" s="633"/>
      <c r="AJ282" s="549"/>
      <c r="AK282" s="549"/>
      <c r="AL282" s="549"/>
      <c r="AM282" s="549"/>
      <c r="AO282" s="549"/>
    </row>
    <row r="283" spans="1:52" ht="13.65" customHeight="1">
      <c r="A283" s="549"/>
      <c r="B283" s="594"/>
      <c r="C283" s="634"/>
      <c r="D283" s="549"/>
      <c r="E283" s="546"/>
      <c r="F283" s="2649"/>
      <c r="G283" s="2650"/>
      <c r="H283" s="2650"/>
      <c r="I283" s="2650"/>
      <c r="J283" s="2650"/>
      <c r="K283" s="2650"/>
      <c r="L283" s="2650"/>
      <c r="M283" s="2650"/>
      <c r="N283" s="2650"/>
      <c r="O283" s="2650"/>
      <c r="P283" s="2650"/>
      <c r="Q283" s="2650"/>
      <c r="R283" s="2650"/>
      <c r="S283" s="2650"/>
      <c r="T283" s="2650"/>
      <c r="U283" s="2650"/>
      <c r="V283" s="2650"/>
      <c r="W283" s="2650"/>
      <c r="X283" s="2650"/>
      <c r="Y283" s="2650"/>
      <c r="Z283" s="2650"/>
      <c r="AA283" s="2650"/>
      <c r="AB283" s="2650"/>
      <c r="AC283" s="2650"/>
      <c r="AD283" s="2651"/>
      <c r="AE283" s="549"/>
      <c r="AF283" s="633"/>
      <c r="AG283" s="633"/>
      <c r="AH283" s="633"/>
      <c r="AI283" s="633"/>
      <c r="AJ283" s="549"/>
      <c r="AK283" s="549"/>
      <c r="AL283" s="549"/>
      <c r="AM283" s="549"/>
      <c r="AO283" s="549"/>
    </row>
    <row r="284" spans="1:52">
      <c r="A284" s="549"/>
      <c r="B284" s="594"/>
      <c r="C284" s="634"/>
      <c r="D284" s="549"/>
      <c r="E284" s="546"/>
      <c r="F284" s="2649"/>
      <c r="G284" s="2650"/>
      <c r="H284" s="2650"/>
      <c r="I284" s="2650"/>
      <c r="J284" s="2650"/>
      <c r="K284" s="2650"/>
      <c r="L284" s="2650"/>
      <c r="M284" s="2650"/>
      <c r="N284" s="2650"/>
      <c r="O284" s="2650"/>
      <c r="P284" s="2650"/>
      <c r="Q284" s="2650"/>
      <c r="R284" s="2650"/>
      <c r="S284" s="2650"/>
      <c r="T284" s="2650"/>
      <c r="U284" s="2650"/>
      <c r="V284" s="2650"/>
      <c r="W284" s="2650"/>
      <c r="X284" s="2650"/>
      <c r="Y284" s="2650"/>
      <c r="Z284" s="2650"/>
      <c r="AA284" s="2650"/>
      <c r="AB284" s="2650"/>
      <c r="AC284" s="2650"/>
      <c r="AD284" s="2651"/>
      <c r="AE284" s="549"/>
      <c r="AF284" s="633"/>
      <c r="AG284" s="633"/>
      <c r="AH284" s="633"/>
      <c r="AI284" s="633"/>
      <c r="AJ284" s="549"/>
      <c r="AK284" s="549"/>
      <c r="AL284" s="549"/>
      <c r="AM284" s="549"/>
      <c r="AO284" s="549"/>
      <c r="AP284" s="635"/>
    </row>
    <row r="285" spans="1:52">
      <c r="A285" s="549"/>
      <c r="B285" s="594"/>
      <c r="C285" s="634"/>
      <c r="D285" s="549"/>
      <c r="E285" s="546"/>
      <c r="F285" s="2649"/>
      <c r="G285" s="2650"/>
      <c r="H285" s="2650"/>
      <c r="I285" s="2650"/>
      <c r="J285" s="2650"/>
      <c r="K285" s="2650"/>
      <c r="L285" s="2650"/>
      <c r="M285" s="2650"/>
      <c r="N285" s="2650"/>
      <c r="O285" s="2650"/>
      <c r="P285" s="2650"/>
      <c r="Q285" s="2650"/>
      <c r="R285" s="2650"/>
      <c r="S285" s="2650"/>
      <c r="T285" s="2650"/>
      <c r="U285" s="2650"/>
      <c r="V285" s="2650"/>
      <c r="W285" s="2650"/>
      <c r="X285" s="2650"/>
      <c r="Y285" s="2650"/>
      <c r="Z285" s="2650"/>
      <c r="AA285" s="2650"/>
      <c r="AB285" s="2650"/>
      <c r="AC285" s="2650"/>
      <c r="AD285" s="2651"/>
      <c r="AE285" s="549"/>
      <c r="AF285" s="633"/>
      <c r="AG285" s="633"/>
      <c r="AH285" s="633"/>
      <c r="AI285" s="633"/>
      <c r="AJ285" s="549"/>
      <c r="AK285" s="549"/>
      <c r="AL285" s="549"/>
      <c r="AM285" s="549"/>
      <c r="AO285" s="549"/>
      <c r="AP285" s="635"/>
    </row>
    <row r="286" spans="1:52" ht="13.65" customHeight="1">
      <c r="A286" s="549"/>
      <c r="B286" s="594"/>
      <c r="C286" s="2493"/>
      <c r="D286" s="2493"/>
      <c r="E286" s="546"/>
      <c r="F286" s="2652"/>
      <c r="G286" s="2653"/>
      <c r="H286" s="2653"/>
      <c r="I286" s="2653"/>
      <c r="J286" s="2653"/>
      <c r="K286" s="2653"/>
      <c r="L286" s="2653"/>
      <c r="M286" s="2653"/>
      <c r="N286" s="2653"/>
      <c r="O286" s="2653"/>
      <c r="P286" s="2653"/>
      <c r="Q286" s="2653"/>
      <c r="R286" s="2653"/>
      <c r="S286" s="2653"/>
      <c r="T286" s="2653"/>
      <c r="U286" s="2653"/>
      <c r="V286" s="2653"/>
      <c r="W286" s="2653"/>
      <c r="X286" s="2653"/>
      <c r="Y286" s="2653"/>
      <c r="Z286" s="2653"/>
      <c r="AA286" s="2653"/>
      <c r="AB286" s="2653"/>
      <c r="AC286" s="2653"/>
      <c r="AD286" s="2654"/>
      <c r="AE286" s="549"/>
      <c r="AF286" s="633"/>
      <c r="AG286" s="2492"/>
      <c r="AH286" s="2492"/>
      <c r="AI286" s="2492"/>
      <c r="AJ286" s="2492"/>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07" t="s">
        <v>2569</v>
      </c>
      <c r="C289" s="2407"/>
      <c r="D289" s="2407"/>
      <c r="E289" s="2407"/>
      <c r="F289" s="2407"/>
      <c r="G289" s="2407"/>
      <c r="H289" s="2407"/>
      <c r="I289" s="2407"/>
      <c r="J289" s="2407"/>
      <c r="K289" s="2407"/>
      <c r="L289" s="2407"/>
      <c r="M289" s="2407"/>
      <c r="N289" s="2407"/>
      <c r="O289" s="2407"/>
      <c r="P289" s="2407"/>
      <c r="Q289" s="2407"/>
      <c r="R289" s="2407"/>
      <c r="S289" s="2407"/>
      <c r="T289" s="2407"/>
      <c r="U289" s="2407"/>
      <c r="V289" s="2407"/>
      <c r="W289" s="2407"/>
      <c r="X289" s="2407"/>
      <c r="Y289" s="2407"/>
      <c r="Z289" s="2407"/>
      <c r="AA289" s="2407"/>
      <c r="AB289" s="2407"/>
      <c r="AC289" s="2407"/>
      <c r="AD289" s="2407"/>
      <c r="AE289" s="2407"/>
      <c r="AF289" s="2407"/>
      <c r="AG289" s="2407"/>
      <c r="AH289" s="2407"/>
      <c r="AI289" s="2407"/>
      <c r="AJ289" s="2407"/>
      <c r="AK289" s="2407"/>
      <c r="AL289" s="2407"/>
      <c r="AM289" s="549"/>
      <c r="AN289" s="73"/>
    </row>
    <row r="290" spans="1:49">
      <c r="A290" s="549"/>
      <c r="B290" s="2407"/>
      <c r="C290" s="2407"/>
      <c r="D290" s="2407"/>
      <c r="E290" s="2407"/>
      <c r="F290" s="2407"/>
      <c r="G290" s="2407"/>
      <c r="H290" s="2407"/>
      <c r="I290" s="2407"/>
      <c r="J290" s="2407"/>
      <c r="K290" s="2407"/>
      <c r="L290" s="2407"/>
      <c r="M290" s="2407"/>
      <c r="N290" s="2407"/>
      <c r="O290" s="2407"/>
      <c r="P290" s="2407"/>
      <c r="Q290" s="2407"/>
      <c r="R290" s="2407"/>
      <c r="S290" s="2407"/>
      <c r="T290" s="2407"/>
      <c r="U290" s="2407"/>
      <c r="V290" s="2407"/>
      <c r="W290" s="2407"/>
      <c r="X290" s="2407"/>
      <c r="Y290" s="2407"/>
      <c r="Z290" s="2407"/>
      <c r="AA290" s="2407"/>
      <c r="AB290" s="2407"/>
      <c r="AC290" s="2407"/>
      <c r="AD290" s="2407"/>
      <c r="AE290" s="2407"/>
      <c r="AF290" s="2407"/>
      <c r="AG290" s="2407"/>
      <c r="AH290" s="2407"/>
      <c r="AI290" s="2407"/>
      <c r="AJ290" s="2407"/>
      <c r="AK290" s="2407"/>
      <c r="AL290" s="2407"/>
      <c r="AM290" s="549"/>
      <c r="AN290" s="73"/>
    </row>
    <row r="291" spans="1:49">
      <c r="A291" s="549"/>
      <c r="B291" s="2407"/>
      <c r="C291" s="2407"/>
      <c r="D291" s="2407"/>
      <c r="E291" s="2407"/>
      <c r="F291" s="2407"/>
      <c r="G291" s="2407"/>
      <c r="H291" s="2407"/>
      <c r="I291" s="2407"/>
      <c r="J291" s="2407"/>
      <c r="K291" s="2407"/>
      <c r="L291" s="2407"/>
      <c r="M291" s="2407"/>
      <c r="N291" s="2407"/>
      <c r="O291" s="2407"/>
      <c r="P291" s="2407"/>
      <c r="Q291" s="2407"/>
      <c r="R291" s="2407"/>
      <c r="S291" s="2407"/>
      <c r="T291" s="2407"/>
      <c r="U291" s="2407"/>
      <c r="V291" s="2407"/>
      <c r="W291" s="2407"/>
      <c r="X291" s="2407"/>
      <c r="Y291" s="2407"/>
      <c r="Z291" s="2407"/>
      <c r="AA291" s="2407"/>
      <c r="AB291" s="2407"/>
      <c r="AC291" s="2407"/>
      <c r="AD291" s="2407"/>
      <c r="AE291" s="2407"/>
      <c r="AF291" s="2407"/>
      <c r="AG291" s="2407"/>
      <c r="AH291" s="2407"/>
      <c r="AI291" s="2407"/>
      <c r="AJ291" s="2407"/>
      <c r="AK291" s="2407"/>
      <c r="AL291" s="2407"/>
      <c r="AM291" s="549"/>
      <c r="AN291" s="73"/>
    </row>
    <row r="292" spans="1:49">
      <c r="A292" s="549"/>
      <c r="B292" s="2407"/>
      <c r="C292" s="2407"/>
      <c r="D292" s="2407"/>
      <c r="E292" s="2407"/>
      <c r="F292" s="2407"/>
      <c r="G292" s="2407"/>
      <c r="H292" s="2407"/>
      <c r="I292" s="2407"/>
      <c r="J292" s="2407"/>
      <c r="K292" s="2407"/>
      <c r="L292" s="2407"/>
      <c r="M292" s="2407"/>
      <c r="N292" s="2407"/>
      <c r="O292" s="2407"/>
      <c r="P292" s="2407"/>
      <c r="Q292" s="2407"/>
      <c r="R292" s="2407"/>
      <c r="S292" s="2407"/>
      <c r="T292" s="2407"/>
      <c r="U292" s="2407"/>
      <c r="V292" s="2407"/>
      <c r="W292" s="2407"/>
      <c r="X292" s="2407"/>
      <c r="Y292" s="2407"/>
      <c r="Z292" s="2407"/>
      <c r="AA292" s="2407"/>
      <c r="AB292" s="2407"/>
      <c r="AC292" s="2407"/>
      <c r="AD292" s="2407"/>
      <c r="AE292" s="2407"/>
      <c r="AF292" s="2407"/>
      <c r="AG292" s="2407"/>
      <c r="AH292" s="2407"/>
      <c r="AI292" s="2407"/>
      <c r="AJ292" s="2407"/>
      <c r="AK292" s="2407"/>
      <c r="AL292" s="2407"/>
      <c r="AM292" s="549"/>
      <c r="AN292" s="73"/>
    </row>
    <row r="293" spans="1:49">
      <c r="A293" s="549"/>
      <c r="B293" s="2407"/>
      <c r="C293" s="2407"/>
      <c r="D293" s="2407"/>
      <c r="E293" s="2407"/>
      <c r="F293" s="2407"/>
      <c r="G293" s="2407"/>
      <c r="H293" s="2407"/>
      <c r="I293" s="2407"/>
      <c r="J293" s="2407"/>
      <c r="K293" s="2407"/>
      <c r="L293" s="2407"/>
      <c r="M293" s="2407"/>
      <c r="N293" s="2407"/>
      <c r="O293" s="2407"/>
      <c r="P293" s="2407"/>
      <c r="Q293" s="2407"/>
      <c r="R293" s="2407"/>
      <c r="S293" s="2407"/>
      <c r="T293" s="2407"/>
      <c r="U293" s="2407"/>
      <c r="V293" s="2407"/>
      <c r="W293" s="2407"/>
      <c r="X293" s="2407"/>
      <c r="Y293" s="2407"/>
      <c r="Z293" s="2407"/>
      <c r="AA293" s="2407"/>
      <c r="AB293" s="2407"/>
      <c r="AC293" s="2407"/>
      <c r="AD293" s="2407"/>
      <c r="AE293" s="2407"/>
      <c r="AF293" s="2407"/>
      <c r="AG293" s="2407"/>
      <c r="AH293" s="2407"/>
      <c r="AI293" s="2407"/>
      <c r="AJ293" s="2407"/>
      <c r="AK293" s="2407"/>
      <c r="AL293" s="2407"/>
      <c r="AM293" s="549"/>
      <c r="AN293" s="73"/>
    </row>
    <row r="294" spans="1:49">
      <c r="A294" s="549"/>
      <c r="B294" s="2407"/>
      <c r="C294" s="2407"/>
      <c r="D294" s="2407"/>
      <c r="E294" s="2407"/>
      <c r="F294" s="2407"/>
      <c r="G294" s="2407"/>
      <c r="H294" s="2407"/>
      <c r="I294" s="2407"/>
      <c r="J294" s="2407"/>
      <c r="K294" s="2407"/>
      <c r="L294" s="2407"/>
      <c r="M294" s="2407"/>
      <c r="N294" s="2407"/>
      <c r="O294" s="2407"/>
      <c r="P294" s="2407"/>
      <c r="Q294" s="2407"/>
      <c r="R294" s="2407"/>
      <c r="S294" s="2407"/>
      <c r="T294" s="2407"/>
      <c r="U294" s="2407"/>
      <c r="V294" s="2407"/>
      <c r="W294" s="2407"/>
      <c r="X294" s="2407"/>
      <c r="Y294" s="2407"/>
      <c r="Z294" s="2407"/>
      <c r="AA294" s="2407"/>
      <c r="AB294" s="2407"/>
      <c r="AC294" s="2407"/>
      <c r="AD294" s="2407"/>
      <c r="AE294" s="2407"/>
      <c r="AF294" s="2407"/>
      <c r="AG294" s="2407"/>
      <c r="AH294" s="2407"/>
      <c r="AI294" s="2407"/>
      <c r="AJ294" s="2407"/>
      <c r="AK294" s="2407"/>
      <c r="AL294" s="2407"/>
      <c r="AM294" s="549"/>
      <c r="AN294" s="73"/>
    </row>
    <row r="295" spans="1:49">
      <c r="A295" s="549"/>
      <c r="B295" s="2407"/>
      <c r="C295" s="2407"/>
      <c r="D295" s="2407"/>
      <c r="E295" s="2407"/>
      <c r="F295" s="2407"/>
      <c r="G295" s="2407"/>
      <c r="H295" s="2407"/>
      <c r="I295" s="2407"/>
      <c r="J295" s="2407"/>
      <c r="K295" s="2407"/>
      <c r="L295" s="2407"/>
      <c r="M295" s="2407"/>
      <c r="N295" s="2407"/>
      <c r="O295" s="2407"/>
      <c r="P295" s="2407"/>
      <c r="Q295" s="2407"/>
      <c r="R295" s="2407"/>
      <c r="S295" s="2407"/>
      <c r="T295" s="2407"/>
      <c r="U295" s="2407"/>
      <c r="V295" s="2407"/>
      <c r="W295" s="2407"/>
      <c r="X295" s="2407"/>
      <c r="Y295" s="2407"/>
      <c r="Z295" s="2407"/>
      <c r="AA295" s="2407"/>
      <c r="AB295" s="2407"/>
      <c r="AC295" s="2407"/>
      <c r="AD295" s="2407"/>
      <c r="AE295" s="2407"/>
      <c r="AF295" s="2407"/>
      <c r="AG295" s="2407"/>
      <c r="AH295" s="2407"/>
      <c r="AI295" s="2407"/>
      <c r="AJ295" s="2407"/>
      <c r="AK295" s="2407"/>
      <c r="AL295" s="2407"/>
      <c r="AM295" s="549"/>
      <c r="AN295" s="73"/>
    </row>
    <row r="296" spans="1:49">
      <c r="A296" s="549"/>
      <c r="B296" s="2407"/>
      <c r="C296" s="2407"/>
      <c r="D296" s="2407"/>
      <c r="E296" s="2407"/>
      <c r="F296" s="2407"/>
      <c r="G296" s="2407"/>
      <c r="H296" s="2407"/>
      <c r="I296" s="2407"/>
      <c r="J296" s="2407"/>
      <c r="K296" s="2407"/>
      <c r="L296" s="2407"/>
      <c r="M296" s="2407"/>
      <c r="N296" s="2407"/>
      <c r="O296" s="2407"/>
      <c r="P296" s="2407"/>
      <c r="Q296" s="2407"/>
      <c r="R296" s="2407"/>
      <c r="S296" s="2407"/>
      <c r="T296" s="2407"/>
      <c r="U296" s="2407"/>
      <c r="V296" s="2407"/>
      <c r="W296" s="2407"/>
      <c r="X296" s="2407"/>
      <c r="Y296" s="2407"/>
      <c r="Z296" s="2407"/>
      <c r="AA296" s="2407"/>
      <c r="AB296" s="2407"/>
      <c r="AC296" s="2407"/>
      <c r="AD296" s="2407"/>
      <c r="AE296" s="2407"/>
      <c r="AF296" s="2407"/>
      <c r="AG296" s="2407"/>
      <c r="AH296" s="2407"/>
      <c r="AI296" s="2407"/>
      <c r="AJ296" s="2407"/>
      <c r="AK296" s="2407"/>
      <c r="AL296" s="240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99">
        <f>IF($C$279="yes",10,0)</f>
        <v>10</v>
      </c>
      <c r="AL298" s="2499"/>
      <c r="AM298" s="2500"/>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7" t="s">
        <v>1373</v>
      </c>
      <c r="B305" s="1677"/>
      <c r="C305" s="2481" t="s">
        <v>545</v>
      </c>
      <c r="D305" s="2491"/>
      <c r="E305" s="546"/>
      <c r="F305" s="2513" t="s">
        <v>1374</v>
      </c>
      <c r="G305" s="2514"/>
      <c r="H305" s="2514"/>
      <c r="I305" s="2514"/>
      <c r="J305" s="2514"/>
      <c r="K305" s="2514"/>
      <c r="L305" s="2514"/>
      <c r="M305" s="2514"/>
      <c r="N305" s="2514"/>
      <c r="O305" s="2514"/>
      <c r="P305" s="2514"/>
      <c r="Q305" s="2514"/>
      <c r="R305" s="2514"/>
      <c r="S305" s="2514"/>
      <c r="T305" s="2514"/>
      <c r="U305" s="2514"/>
      <c r="V305" s="2514"/>
      <c r="W305" s="2514"/>
      <c r="X305" s="2514"/>
      <c r="Y305" s="2514"/>
      <c r="Z305" s="2514"/>
      <c r="AA305" s="2514"/>
      <c r="AB305" s="2514"/>
      <c r="AC305" s="2514"/>
      <c r="AD305" s="2515"/>
      <c r="AE305" s="640"/>
      <c r="AF305" s="549"/>
      <c r="AG305" s="2516" t="s">
        <v>1980</v>
      </c>
      <c r="AH305" s="2516"/>
      <c r="AI305" s="2516"/>
      <c r="AJ305" s="2516"/>
      <c r="AK305" s="2516"/>
      <c r="AL305" s="549"/>
      <c r="AM305" s="549"/>
      <c r="AN305" s="73"/>
      <c r="AO305" s="14"/>
      <c r="AP305" s="30"/>
      <c r="AS305" s="568"/>
      <c r="AT305" s="568"/>
      <c r="AU305" s="568"/>
      <c r="AV305" s="32"/>
      <c r="AW305" s="32"/>
    </row>
    <row r="306" spans="1:49">
      <c r="A306" s="638"/>
      <c r="B306" s="594"/>
      <c r="F306" s="2485"/>
      <c r="G306" s="2486"/>
      <c r="H306" s="2486"/>
      <c r="I306" s="2486"/>
      <c r="J306" s="2486"/>
      <c r="K306" s="2486"/>
      <c r="L306" s="2486"/>
      <c r="M306" s="2486"/>
      <c r="N306" s="2486"/>
      <c r="O306" s="2486"/>
      <c r="P306" s="2486"/>
      <c r="Q306" s="2486"/>
      <c r="R306" s="2486"/>
      <c r="S306" s="2486"/>
      <c r="T306" s="2486"/>
      <c r="U306" s="2486"/>
      <c r="V306" s="2486"/>
      <c r="W306" s="2486"/>
      <c r="X306" s="2486"/>
      <c r="Y306" s="2486"/>
      <c r="Z306" s="2486"/>
      <c r="AA306" s="2486"/>
      <c r="AB306" s="2486"/>
      <c r="AC306" s="2486"/>
      <c r="AD306" s="2487"/>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85"/>
      <c r="G307" s="2486"/>
      <c r="H307" s="2486"/>
      <c r="I307" s="2486"/>
      <c r="J307" s="2486"/>
      <c r="K307" s="2486"/>
      <c r="L307" s="2486"/>
      <c r="M307" s="2486"/>
      <c r="N307" s="2486"/>
      <c r="O307" s="2486"/>
      <c r="P307" s="2486"/>
      <c r="Q307" s="2486"/>
      <c r="R307" s="2486"/>
      <c r="S307" s="2486"/>
      <c r="T307" s="2486"/>
      <c r="U307" s="2486"/>
      <c r="V307" s="2486"/>
      <c r="W307" s="2486"/>
      <c r="X307" s="2486"/>
      <c r="Y307" s="2486"/>
      <c r="Z307" s="2486"/>
      <c r="AA307" s="2486"/>
      <c r="AB307" s="2486"/>
      <c r="AC307" s="2486"/>
      <c r="AD307" s="2487"/>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85" t="s">
        <v>1985</v>
      </c>
      <c r="G308" s="2486"/>
      <c r="H308" s="2486"/>
      <c r="I308" s="2486"/>
      <c r="J308" s="2486"/>
      <c r="K308" s="2486"/>
      <c r="L308" s="2486"/>
      <c r="M308" s="2486"/>
      <c r="N308" s="2486"/>
      <c r="O308" s="2486"/>
      <c r="P308" s="2486"/>
      <c r="Q308" s="2486"/>
      <c r="R308" s="2486"/>
      <c r="S308" s="2486"/>
      <c r="T308" s="2486"/>
      <c r="U308" s="2486"/>
      <c r="V308" s="2486"/>
      <c r="W308" s="2486"/>
      <c r="X308" s="2486"/>
      <c r="Y308" s="2486"/>
      <c r="Z308" s="2486"/>
      <c r="AA308" s="2486"/>
      <c r="AB308" s="2486"/>
      <c r="AC308" s="2486"/>
      <c r="AD308" s="2487"/>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85"/>
      <c r="G309" s="2486"/>
      <c r="H309" s="2486"/>
      <c r="I309" s="2486"/>
      <c r="J309" s="2486"/>
      <c r="K309" s="2486"/>
      <c r="L309" s="2486"/>
      <c r="M309" s="2486"/>
      <c r="N309" s="2486"/>
      <c r="O309" s="2486"/>
      <c r="P309" s="2486"/>
      <c r="Q309" s="2486"/>
      <c r="R309" s="2486"/>
      <c r="S309" s="2486"/>
      <c r="T309" s="2486"/>
      <c r="U309" s="2486"/>
      <c r="V309" s="2486"/>
      <c r="W309" s="2486"/>
      <c r="X309" s="2486"/>
      <c r="Y309" s="2486"/>
      <c r="Z309" s="2486"/>
      <c r="AA309" s="2486"/>
      <c r="AB309" s="2486"/>
      <c r="AC309" s="2486"/>
      <c r="AD309" s="248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85" t="s">
        <v>1375</v>
      </c>
      <c r="G310" s="2486"/>
      <c r="H310" s="2486"/>
      <c r="I310" s="2486"/>
      <c r="J310" s="2486"/>
      <c r="K310" s="2486"/>
      <c r="L310" s="2486"/>
      <c r="M310" s="2486"/>
      <c r="N310" s="2486"/>
      <c r="O310" s="2486"/>
      <c r="P310" s="2486"/>
      <c r="Q310" s="2486"/>
      <c r="R310" s="2486"/>
      <c r="S310" s="2486"/>
      <c r="T310" s="2486"/>
      <c r="U310" s="2486"/>
      <c r="V310" s="2486"/>
      <c r="W310" s="2486"/>
      <c r="X310" s="2486"/>
      <c r="Y310" s="2486"/>
      <c r="Z310" s="2486"/>
      <c r="AA310" s="2486"/>
      <c r="AB310" s="2486"/>
      <c r="AC310" s="2486"/>
      <c r="AD310" s="248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85"/>
      <c r="G311" s="2486"/>
      <c r="H311" s="2486"/>
      <c r="I311" s="2486"/>
      <c r="J311" s="2486"/>
      <c r="K311" s="2486"/>
      <c r="L311" s="2486"/>
      <c r="M311" s="2486"/>
      <c r="N311" s="2486"/>
      <c r="O311" s="2486"/>
      <c r="P311" s="2486"/>
      <c r="Q311" s="2486"/>
      <c r="R311" s="2486"/>
      <c r="S311" s="2486"/>
      <c r="T311" s="2486"/>
      <c r="U311" s="2486"/>
      <c r="V311" s="2486"/>
      <c r="W311" s="2486"/>
      <c r="X311" s="2486"/>
      <c r="Y311" s="2486"/>
      <c r="Z311" s="2486"/>
      <c r="AA311" s="2486"/>
      <c r="AB311" s="2486"/>
      <c r="AC311" s="2486"/>
      <c r="AD311" s="248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85" t="s">
        <v>1376</v>
      </c>
      <c r="G312" s="2486"/>
      <c r="H312" s="2486"/>
      <c r="I312" s="2486"/>
      <c r="J312" s="2486"/>
      <c r="K312" s="2486"/>
      <c r="L312" s="2486"/>
      <c r="M312" s="2486"/>
      <c r="N312" s="2486"/>
      <c r="O312" s="2486"/>
      <c r="P312" s="2486"/>
      <c r="Q312" s="2486"/>
      <c r="R312" s="2486"/>
      <c r="S312" s="2486"/>
      <c r="T312" s="2486"/>
      <c r="U312" s="2486"/>
      <c r="V312" s="2486"/>
      <c r="W312" s="2486"/>
      <c r="X312" s="2486"/>
      <c r="Y312" s="2486"/>
      <c r="Z312" s="2486"/>
      <c r="AA312" s="2486"/>
      <c r="AB312" s="2486"/>
      <c r="AC312" s="2486"/>
      <c r="AD312" s="248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88"/>
      <c r="G313" s="2489"/>
      <c r="H313" s="2489"/>
      <c r="I313" s="2489"/>
      <c r="J313" s="2489"/>
      <c r="K313" s="2489"/>
      <c r="L313" s="2489"/>
      <c r="M313" s="2489"/>
      <c r="N313" s="2489"/>
      <c r="O313" s="2489"/>
      <c r="P313" s="2489"/>
      <c r="Q313" s="2489"/>
      <c r="R313" s="2489"/>
      <c r="S313" s="2489"/>
      <c r="T313" s="2489"/>
      <c r="U313" s="2489"/>
      <c r="V313" s="2489"/>
      <c r="W313" s="2489"/>
      <c r="X313" s="2489"/>
      <c r="Y313" s="2489"/>
      <c r="Z313" s="2489"/>
      <c r="AA313" s="2489"/>
      <c r="AB313" s="2489"/>
      <c r="AC313" s="2489"/>
      <c r="AD313" s="249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7" t="s">
        <v>1377</v>
      </c>
      <c r="B315" s="1677"/>
      <c r="C315" s="2491" t="s">
        <v>591</v>
      </c>
      <c r="D315" s="2491"/>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85" t="s">
        <v>1981</v>
      </c>
      <c r="G316" s="2486"/>
      <c r="H316" s="2486"/>
      <c r="I316" s="2486"/>
      <c r="J316" s="2486"/>
      <c r="K316" s="2486"/>
      <c r="L316" s="2486"/>
      <c r="M316" s="2486"/>
      <c r="N316" s="2486"/>
      <c r="O316" s="2486"/>
      <c r="P316" s="2486"/>
      <c r="Q316" s="2486"/>
      <c r="R316" s="2486"/>
      <c r="S316" s="2486"/>
      <c r="T316" s="2486"/>
      <c r="U316" s="2486"/>
      <c r="V316" s="2486"/>
      <c r="W316" s="2486"/>
      <c r="X316" s="2486"/>
      <c r="Y316" s="2486"/>
      <c r="Z316" s="2486"/>
      <c r="AA316" s="2486"/>
      <c r="AB316" s="2486"/>
      <c r="AC316" s="2486"/>
      <c r="AD316" s="2487"/>
      <c r="AE316" s="550"/>
      <c r="AF316" s="550"/>
      <c r="AG316" s="550"/>
      <c r="AH316" s="550"/>
      <c r="AI316" s="550"/>
      <c r="AJ316" s="549"/>
      <c r="AK316" s="549"/>
      <c r="AL316" s="549"/>
      <c r="AM316" s="549"/>
      <c r="AR316" s="644"/>
    </row>
    <row r="317" spans="1:49" ht="15" customHeight="1">
      <c r="A317" s="549"/>
      <c r="B317" s="550"/>
      <c r="C317" s="549"/>
      <c r="D317" s="550"/>
      <c r="E317" s="549"/>
      <c r="F317" s="2485"/>
      <c r="G317" s="2486"/>
      <c r="H317" s="2486"/>
      <c r="I317" s="2486"/>
      <c r="J317" s="2486"/>
      <c r="K317" s="2486"/>
      <c r="L317" s="2486"/>
      <c r="M317" s="2486"/>
      <c r="N317" s="2486"/>
      <c r="O317" s="2486"/>
      <c r="P317" s="2486"/>
      <c r="Q317" s="2486"/>
      <c r="R317" s="2486"/>
      <c r="S317" s="2486"/>
      <c r="T317" s="2486"/>
      <c r="U317" s="2486"/>
      <c r="V317" s="2486"/>
      <c r="W317" s="2486"/>
      <c r="X317" s="2486"/>
      <c r="Y317" s="2486"/>
      <c r="Z317" s="2486"/>
      <c r="AA317" s="2486"/>
      <c r="AB317" s="2486"/>
      <c r="AC317" s="2486"/>
      <c r="AD317" s="2487"/>
      <c r="AE317" s="550"/>
      <c r="AF317" s="550"/>
      <c r="AG317" s="550"/>
      <c r="AH317" s="550"/>
      <c r="AI317" s="550"/>
      <c r="AJ317" s="549"/>
      <c r="AK317" s="549"/>
      <c r="AL317" s="549"/>
      <c r="AM317" s="549"/>
      <c r="AR317" s="644"/>
    </row>
    <row r="318" spans="1:49">
      <c r="A318" s="549"/>
      <c r="B318" s="550"/>
      <c r="C318" s="549"/>
      <c r="D318" s="550"/>
      <c r="E318" s="549"/>
      <c r="F318" s="2485"/>
      <c r="G318" s="2486"/>
      <c r="H318" s="2486"/>
      <c r="I318" s="2486"/>
      <c r="J318" s="2486"/>
      <c r="K318" s="2486"/>
      <c r="L318" s="2486"/>
      <c r="M318" s="2486"/>
      <c r="N318" s="2486"/>
      <c r="O318" s="2486"/>
      <c r="P318" s="2486"/>
      <c r="Q318" s="2486"/>
      <c r="R318" s="2486"/>
      <c r="S318" s="2486"/>
      <c r="T318" s="2486"/>
      <c r="U318" s="2486"/>
      <c r="V318" s="2486"/>
      <c r="W318" s="2486"/>
      <c r="X318" s="2486"/>
      <c r="Y318" s="2486"/>
      <c r="Z318" s="2486"/>
      <c r="AA318" s="2486"/>
      <c r="AB318" s="2486"/>
      <c r="AC318" s="2486"/>
      <c r="AD318" s="248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88"/>
      <c r="G319" s="2489"/>
      <c r="H319" s="2489"/>
      <c r="I319" s="2489"/>
      <c r="J319" s="2489"/>
      <c r="K319" s="2489"/>
      <c r="L319" s="2489"/>
      <c r="M319" s="2489"/>
      <c r="N319" s="2489"/>
      <c r="O319" s="2489"/>
      <c r="P319" s="2489"/>
      <c r="Q319" s="2489"/>
      <c r="R319" s="2489"/>
      <c r="S319" s="2489"/>
      <c r="T319" s="2489"/>
      <c r="U319" s="2489"/>
      <c r="V319" s="2489"/>
      <c r="W319" s="2489"/>
      <c r="X319" s="2489"/>
      <c r="Y319" s="2489"/>
      <c r="Z319" s="2489"/>
      <c r="AA319" s="2489"/>
      <c r="AB319" s="2489"/>
      <c r="AC319" s="2489"/>
      <c r="AD319" s="249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7" t="s">
        <v>1380</v>
      </c>
      <c r="B323" s="1677"/>
      <c r="C323" s="2491" t="s">
        <v>591</v>
      </c>
      <c r="D323" s="2491"/>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85" t="s">
        <v>1986</v>
      </c>
      <c r="G324" s="2486"/>
      <c r="H324" s="2486"/>
      <c r="I324" s="2486"/>
      <c r="J324" s="2486"/>
      <c r="K324" s="2486"/>
      <c r="L324" s="2486"/>
      <c r="M324" s="2486"/>
      <c r="N324" s="2486"/>
      <c r="O324" s="2486"/>
      <c r="P324" s="2486"/>
      <c r="Q324" s="2486"/>
      <c r="R324" s="2486"/>
      <c r="S324" s="2486"/>
      <c r="T324" s="2486"/>
      <c r="U324" s="2486"/>
      <c r="V324" s="2486"/>
      <c r="W324" s="2486"/>
      <c r="X324" s="2486"/>
      <c r="Y324" s="2486"/>
      <c r="Z324" s="2486"/>
      <c r="AA324" s="2486"/>
      <c r="AB324" s="2486"/>
      <c r="AC324" s="2486"/>
      <c r="AD324" s="2487"/>
      <c r="AE324" s="550"/>
      <c r="AF324" s="550"/>
      <c r="AG324" s="539"/>
      <c r="AH324" s="550"/>
      <c r="AI324" s="550"/>
      <c r="AJ324" s="549"/>
      <c r="AK324" s="549"/>
      <c r="AL324" s="549"/>
      <c r="AM324" s="549"/>
      <c r="AN324" s="73"/>
      <c r="AO324" s="14"/>
      <c r="AP324" s="555" t="s">
        <v>1183</v>
      </c>
    </row>
    <row r="325" spans="1:44" hidden="1">
      <c r="F325" s="2485"/>
      <c r="G325" s="2486"/>
      <c r="H325" s="2486"/>
      <c r="I325" s="2486"/>
      <c r="J325" s="2486"/>
      <c r="K325" s="2486"/>
      <c r="L325" s="2486"/>
      <c r="M325" s="2486"/>
      <c r="N325" s="2486"/>
      <c r="O325" s="2486"/>
      <c r="P325" s="2486"/>
      <c r="Q325" s="2486"/>
      <c r="R325" s="2486"/>
      <c r="S325" s="2486"/>
      <c r="T325" s="2486"/>
      <c r="U325" s="2486"/>
      <c r="V325" s="2486"/>
      <c r="W325" s="2486"/>
      <c r="X325" s="2486"/>
      <c r="Y325" s="2486"/>
      <c r="Z325" s="2486"/>
      <c r="AA325" s="2486"/>
      <c r="AB325" s="2486"/>
      <c r="AC325" s="2486"/>
      <c r="AD325" s="2487"/>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20" t="s">
        <v>1183</v>
      </c>
      <c r="G329" s="2521"/>
      <c r="H329" s="2521"/>
      <c r="I329" s="2521"/>
      <c r="J329" s="2521"/>
      <c r="K329" s="2521"/>
      <c r="L329" s="2521"/>
      <c r="M329" s="2521"/>
      <c r="N329" s="2521"/>
      <c r="O329" s="2521"/>
      <c r="P329" s="2521"/>
      <c r="Q329" s="2521"/>
      <c r="R329" s="2521"/>
      <c r="S329" s="2521"/>
      <c r="T329" s="2521"/>
      <c r="U329" s="2521"/>
      <c r="V329" s="2521"/>
      <c r="W329" s="2521"/>
      <c r="X329" s="2521"/>
      <c r="Y329" s="2521"/>
      <c r="Z329" s="2521"/>
      <c r="AA329" s="2521"/>
      <c r="AB329" s="2521"/>
      <c r="AC329" s="2521"/>
      <c r="AD329" s="2522"/>
      <c r="AE329" s="640"/>
      <c r="AF329" s="640"/>
      <c r="AG329" s="640"/>
      <c r="AH329" s="640"/>
      <c r="AI329" s="640"/>
      <c r="AJ329" s="640"/>
      <c r="AK329" s="640"/>
      <c r="AL329" s="549"/>
      <c r="AM329" s="549"/>
      <c r="AN329" s="73"/>
      <c r="AO329" s="14"/>
      <c r="AP329" s="30"/>
    </row>
    <row r="330" spans="1:44" hidden="1">
      <c r="A330" s="549"/>
      <c r="B330" s="550"/>
      <c r="C330" s="726"/>
      <c r="D330" s="726"/>
      <c r="E330" s="546"/>
      <c r="F330" s="2520"/>
      <c r="G330" s="2521"/>
      <c r="H330" s="2521"/>
      <c r="I330" s="2521"/>
      <c r="J330" s="2521"/>
      <c r="K330" s="2521"/>
      <c r="L330" s="2521"/>
      <c r="M330" s="2521"/>
      <c r="N330" s="2521"/>
      <c r="O330" s="2521"/>
      <c r="P330" s="2521"/>
      <c r="Q330" s="2521"/>
      <c r="R330" s="2521"/>
      <c r="S330" s="2521"/>
      <c r="T330" s="2521"/>
      <c r="U330" s="2521"/>
      <c r="V330" s="2521"/>
      <c r="W330" s="2521"/>
      <c r="X330" s="2521"/>
      <c r="Y330" s="2521"/>
      <c r="Z330" s="2521"/>
      <c r="AA330" s="2521"/>
      <c r="AB330" s="2521"/>
      <c r="AC330" s="2521"/>
      <c r="AD330" s="2522"/>
      <c r="AE330" s="550"/>
      <c r="AF330" s="550"/>
      <c r="AG330" s="539"/>
      <c r="AH330" s="550"/>
      <c r="AI330" s="550"/>
      <c r="AJ330" s="549"/>
      <c r="AK330" s="549"/>
      <c r="AL330" s="549"/>
      <c r="AM330" s="549"/>
      <c r="AN330" s="73"/>
      <c r="AO330" s="14"/>
      <c r="AP330" s="30"/>
    </row>
    <row r="331" spans="1:44" hidden="1">
      <c r="A331" s="549"/>
      <c r="B331" s="550"/>
      <c r="C331" s="726"/>
      <c r="D331" s="726"/>
      <c r="E331" s="546"/>
      <c r="F331" s="2520"/>
      <c r="G331" s="2521"/>
      <c r="H331" s="2521"/>
      <c r="I331" s="2521"/>
      <c r="J331" s="2521"/>
      <c r="K331" s="2521"/>
      <c r="L331" s="2521"/>
      <c r="M331" s="2521"/>
      <c r="N331" s="2521"/>
      <c r="O331" s="2521"/>
      <c r="P331" s="2521"/>
      <c r="Q331" s="2521"/>
      <c r="R331" s="2521"/>
      <c r="S331" s="2521"/>
      <c r="T331" s="2521"/>
      <c r="U331" s="2521"/>
      <c r="V331" s="2521"/>
      <c r="W331" s="2521"/>
      <c r="X331" s="2521"/>
      <c r="Y331" s="2521"/>
      <c r="Z331" s="2521"/>
      <c r="AA331" s="2521"/>
      <c r="AB331" s="2521"/>
      <c r="AC331" s="2521"/>
      <c r="AD331" s="2522"/>
      <c r="AE331" s="550"/>
      <c r="AF331" s="550"/>
      <c r="AG331" s="539"/>
      <c r="AH331" s="550"/>
      <c r="AI331" s="550"/>
      <c r="AJ331" s="549"/>
      <c r="AK331" s="549"/>
      <c r="AL331" s="549"/>
      <c r="AM331" s="549"/>
      <c r="AN331" s="73"/>
      <c r="AO331" s="14"/>
      <c r="AP331" s="30"/>
    </row>
    <row r="332" spans="1:44" hidden="1">
      <c r="A332" s="549"/>
      <c r="B332" s="550"/>
      <c r="C332" s="726"/>
      <c r="D332" s="726"/>
      <c r="E332" s="546"/>
      <c r="F332" s="2520"/>
      <c r="G332" s="2521"/>
      <c r="H332" s="2521"/>
      <c r="I332" s="2521"/>
      <c r="J332" s="2521"/>
      <c r="K332" s="2521"/>
      <c r="L332" s="2521"/>
      <c r="M332" s="2521"/>
      <c r="N332" s="2521"/>
      <c r="O332" s="2521"/>
      <c r="P332" s="2521"/>
      <c r="Q332" s="2521"/>
      <c r="R332" s="2521"/>
      <c r="S332" s="2521"/>
      <c r="T332" s="2521"/>
      <c r="U332" s="2521"/>
      <c r="V332" s="2521"/>
      <c r="W332" s="2521"/>
      <c r="X332" s="2521"/>
      <c r="Y332" s="2521"/>
      <c r="Z332" s="2521"/>
      <c r="AA332" s="2521"/>
      <c r="AB332" s="2521"/>
      <c r="AC332" s="2521"/>
      <c r="AD332" s="2522"/>
      <c r="AE332" s="550"/>
      <c r="AF332" s="550"/>
      <c r="AG332" s="539"/>
      <c r="AH332" s="550"/>
      <c r="AI332" s="550"/>
      <c r="AJ332" s="549"/>
      <c r="AK332" s="549"/>
      <c r="AL332" s="549"/>
      <c r="AM332" s="549"/>
      <c r="AN332" s="73"/>
      <c r="AO332" s="14"/>
      <c r="AP332" s="30"/>
    </row>
    <row r="333" spans="1:44" hidden="1">
      <c r="A333" s="549"/>
      <c r="B333" s="550"/>
      <c r="C333" s="726"/>
      <c r="D333" s="726"/>
      <c r="E333" s="546"/>
      <c r="F333" s="2523"/>
      <c r="G333" s="2524"/>
      <c r="H333" s="2524"/>
      <c r="I333" s="2524"/>
      <c r="J333" s="2524"/>
      <c r="K333" s="2524"/>
      <c r="L333" s="2524"/>
      <c r="M333" s="2524"/>
      <c r="N333" s="2524"/>
      <c r="O333" s="2524"/>
      <c r="P333" s="2524"/>
      <c r="Q333" s="2524"/>
      <c r="R333" s="2524"/>
      <c r="S333" s="2524"/>
      <c r="T333" s="2524"/>
      <c r="U333" s="2524"/>
      <c r="V333" s="2524"/>
      <c r="W333" s="2524"/>
      <c r="X333" s="2524"/>
      <c r="Y333" s="2524"/>
      <c r="Z333" s="2524"/>
      <c r="AA333" s="2524"/>
      <c r="AB333" s="2524"/>
      <c r="AC333" s="2524"/>
      <c r="AD333" s="252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687</v>
      </c>
      <c r="H337" s="573"/>
      <c r="I337" s="2526" t="s">
        <v>1183</v>
      </c>
      <c r="J337" s="2526"/>
      <c r="K337" s="2526"/>
      <c r="L337" s="2526"/>
      <c r="M337" s="2526"/>
      <c r="N337" s="2526"/>
      <c r="O337" s="2526"/>
      <c r="P337" s="2526"/>
      <c r="Q337" s="2526"/>
      <c r="R337" s="2526"/>
      <c r="S337" s="2526"/>
      <c r="T337" s="2526"/>
      <c r="U337" s="2526"/>
      <c r="V337" s="2526"/>
      <c r="W337" s="2526"/>
      <c r="X337" s="2526"/>
      <c r="Y337" s="2526"/>
      <c r="Z337" s="2526"/>
      <c r="AA337" s="2526"/>
      <c r="AB337" s="2526"/>
      <c r="AC337" s="2526"/>
      <c r="AD337" s="2527"/>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26"/>
      <c r="J338" s="2526"/>
      <c r="K338" s="2526"/>
      <c r="L338" s="2526"/>
      <c r="M338" s="2526"/>
      <c r="N338" s="2526"/>
      <c r="O338" s="2526"/>
      <c r="P338" s="2526"/>
      <c r="Q338" s="2526"/>
      <c r="R338" s="2526"/>
      <c r="S338" s="2526"/>
      <c r="T338" s="2526"/>
      <c r="U338" s="2526"/>
      <c r="V338" s="2526"/>
      <c r="W338" s="2526"/>
      <c r="X338" s="2526"/>
      <c r="Y338" s="2526"/>
      <c r="Z338" s="2526"/>
      <c r="AA338" s="2526"/>
      <c r="AB338" s="2526"/>
      <c r="AC338" s="2526"/>
      <c r="AD338" s="2527"/>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26"/>
      <c r="J339" s="2526"/>
      <c r="K339" s="2526"/>
      <c r="L339" s="2526"/>
      <c r="M339" s="2526"/>
      <c r="N339" s="2526"/>
      <c r="O339" s="2526"/>
      <c r="P339" s="2526"/>
      <c r="Q339" s="2526"/>
      <c r="R339" s="2526"/>
      <c r="S339" s="2526"/>
      <c r="T339" s="2526"/>
      <c r="U339" s="2526"/>
      <c r="V339" s="2526"/>
      <c r="W339" s="2526"/>
      <c r="X339" s="2526"/>
      <c r="Y339" s="2526"/>
      <c r="Z339" s="2526"/>
      <c r="AA339" s="2526"/>
      <c r="AB339" s="2526"/>
      <c r="AC339" s="2526"/>
      <c r="AD339" s="2527"/>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28"/>
      <c r="J340" s="2528"/>
      <c r="K340" s="2528"/>
      <c r="L340" s="2528"/>
      <c r="M340" s="2528"/>
      <c r="N340" s="2528"/>
      <c r="O340" s="2528"/>
      <c r="P340" s="2528"/>
      <c r="Q340" s="2528"/>
      <c r="R340" s="2528"/>
      <c r="S340" s="2528"/>
      <c r="T340" s="2528"/>
      <c r="U340" s="2528"/>
      <c r="V340" s="2528"/>
      <c r="W340" s="2528"/>
      <c r="X340" s="2528"/>
      <c r="Y340" s="2528"/>
      <c r="Z340" s="2528"/>
      <c r="AA340" s="2528"/>
      <c r="AB340" s="2528"/>
      <c r="AC340" s="2528"/>
      <c r="AD340" s="2529"/>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26" t="s">
        <v>1183</v>
      </c>
      <c r="J342" s="2526"/>
      <c r="K342" s="2526"/>
      <c r="L342" s="2526"/>
      <c r="M342" s="2526"/>
      <c r="N342" s="2526"/>
      <c r="O342" s="2526"/>
      <c r="P342" s="2526"/>
      <c r="Q342" s="2526"/>
      <c r="R342" s="2526"/>
      <c r="S342" s="2526"/>
      <c r="T342" s="2526"/>
      <c r="U342" s="2526"/>
      <c r="V342" s="2526"/>
      <c r="W342" s="2526"/>
      <c r="X342" s="2526"/>
      <c r="Y342" s="2526"/>
      <c r="Z342" s="2526"/>
      <c r="AA342" s="2526"/>
      <c r="AB342" s="2526"/>
      <c r="AC342" s="2526"/>
      <c r="AD342" s="252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26"/>
      <c r="J343" s="2526"/>
      <c r="K343" s="2526"/>
      <c r="L343" s="2526"/>
      <c r="M343" s="2526"/>
      <c r="N343" s="2526"/>
      <c r="O343" s="2526"/>
      <c r="P343" s="2526"/>
      <c r="Q343" s="2526"/>
      <c r="R343" s="2526"/>
      <c r="S343" s="2526"/>
      <c r="T343" s="2526"/>
      <c r="U343" s="2526"/>
      <c r="V343" s="2526"/>
      <c r="W343" s="2526"/>
      <c r="X343" s="2526"/>
      <c r="Y343" s="2526"/>
      <c r="Z343" s="2526"/>
      <c r="AA343" s="2526"/>
      <c r="AB343" s="2526"/>
      <c r="AC343" s="2526"/>
      <c r="AD343" s="2527"/>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28"/>
      <c r="J344" s="2528"/>
      <c r="K344" s="2528"/>
      <c r="L344" s="2528"/>
      <c r="M344" s="2528"/>
      <c r="N344" s="2528"/>
      <c r="O344" s="2528"/>
      <c r="P344" s="2528"/>
      <c r="Q344" s="2528"/>
      <c r="R344" s="2528"/>
      <c r="S344" s="2528"/>
      <c r="T344" s="2528"/>
      <c r="U344" s="2528"/>
      <c r="V344" s="2528"/>
      <c r="W344" s="2528"/>
      <c r="X344" s="2528"/>
      <c r="Y344" s="2528"/>
      <c r="Z344" s="2528"/>
      <c r="AA344" s="2528"/>
      <c r="AB344" s="2528"/>
      <c r="AC344" s="2528"/>
      <c r="AD344" s="2529"/>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77" t="s">
        <v>1383</v>
      </c>
      <c r="B346" s="1677"/>
      <c r="C346" s="2491" t="s">
        <v>591</v>
      </c>
      <c r="D346" s="2491"/>
      <c r="E346" s="546"/>
      <c r="F346" s="2424" t="s">
        <v>1987</v>
      </c>
      <c r="G346" s="2425"/>
      <c r="H346" s="2425"/>
      <c r="I346" s="2425"/>
      <c r="J346" s="2425"/>
      <c r="K346" s="2425"/>
      <c r="L346" s="2425"/>
      <c r="M346" s="2425"/>
      <c r="N346" s="2425"/>
      <c r="O346" s="2425"/>
      <c r="P346" s="2425"/>
      <c r="Q346" s="2425"/>
      <c r="R346" s="2425"/>
      <c r="S346" s="2425"/>
      <c r="T346" s="2425"/>
      <c r="U346" s="2425"/>
      <c r="V346" s="2425"/>
      <c r="W346" s="2425"/>
      <c r="X346" s="2425"/>
      <c r="Y346" s="2425"/>
      <c r="Z346" s="2425"/>
      <c r="AA346" s="2425"/>
      <c r="AB346" s="2425"/>
      <c r="AC346" s="2425"/>
      <c r="AD346" s="2426"/>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3"/>
      <c r="G347" s="2454"/>
      <c r="H347" s="2454"/>
      <c r="I347" s="2454"/>
      <c r="J347" s="2454"/>
      <c r="K347" s="2454"/>
      <c r="L347" s="2454"/>
      <c r="M347" s="2454"/>
      <c r="N347" s="2454"/>
      <c r="O347" s="2454"/>
      <c r="P347" s="2454"/>
      <c r="Q347" s="2454"/>
      <c r="R347" s="2454"/>
      <c r="S347" s="2454"/>
      <c r="T347" s="2454"/>
      <c r="U347" s="2454"/>
      <c r="V347" s="2454"/>
      <c r="W347" s="2454"/>
      <c r="X347" s="2454"/>
      <c r="Y347" s="2454"/>
      <c r="Z347" s="2454"/>
      <c r="AA347" s="2454"/>
      <c r="AB347" s="2454"/>
      <c r="AC347" s="2454"/>
      <c r="AD347" s="2455"/>
      <c r="AE347" s="550"/>
      <c r="AF347" s="550"/>
      <c r="AG347" s="550"/>
      <c r="AH347" s="550"/>
      <c r="AI347" s="550"/>
      <c r="AJ347" s="549"/>
      <c r="AK347" s="549"/>
      <c r="AL347" s="549"/>
      <c r="AM347" s="549"/>
      <c r="AN347" s="73"/>
      <c r="AO347" s="14"/>
    </row>
    <row r="348" spans="1:42" ht="15" hidden="1" customHeight="1">
      <c r="A348" s="549"/>
      <c r="B348" s="550"/>
      <c r="C348" s="550"/>
      <c r="D348" s="550"/>
      <c r="E348" s="550"/>
      <c r="F348" s="2453"/>
      <c r="G348" s="2454"/>
      <c r="H348" s="2454"/>
      <c r="I348" s="2454"/>
      <c r="J348" s="2454"/>
      <c r="K348" s="2454"/>
      <c r="L348" s="2454"/>
      <c r="M348" s="2454"/>
      <c r="N348" s="2454"/>
      <c r="O348" s="2454"/>
      <c r="P348" s="2454"/>
      <c r="Q348" s="2454"/>
      <c r="R348" s="2454"/>
      <c r="S348" s="2454"/>
      <c r="T348" s="2454"/>
      <c r="U348" s="2454"/>
      <c r="V348" s="2454"/>
      <c r="W348" s="2454"/>
      <c r="X348" s="2454"/>
      <c r="Y348" s="2454"/>
      <c r="Z348" s="2454"/>
      <c r="AA348" s="2454"/>
      <c r="AB348" s="2454"/>
      <c r="AC348" s="2454"/>
      <c r="AD348" s="2455"/>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494">
        <f>IF(NOT(OR(Application!M364="Yes",Application!M365="Yes")),0,AP308)</f>
        <v>10</v>
      </c>
      <c r="AL351" s="2495"/>
      <c r="AM351" s="2496"/>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845</v>
      </c>
      <c r="C354" s="536"/>
      <c r="AC354" s="539"/>
      <c r="AE354" s="2436" t="s">
        <v>1307</v>
      </c>
      <c r="AF354" s="2436"/>
      <c r="AG354" s="2436"/>
      <c r="AH354" s="2436"/>
      <c r="AI354" s="2436"/>
      <c r="AJ354" s="2436"/>
      <c r="AK354" s="243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30" t="s">
        <v>1444</v>
      </c>
      <c r="D356" s="2530"/>
      <c r="E356" s="2530"/>
      <c r="F356" s="2530"/>
      <c r="G356" s="2530"/>
      <c r="H356" s="2530"/>
      <c r="I356" s="2530"/>
      <c r="J356" s="2530"/>
      <c r="K356" s="2530"/>
      <c r="L356" s="2530"/>
      <c r="M356" s="2530"/>
      <c r="N356" s="2530"/>
      <c r="O356" s="2530"/>
      <c r="P356" s="2530"/>
      <c r="Q356" s="2530"/>
      <c r="R356" s="2530"/>
      <c r="S356" s="2530"/>
      <c r="T356" s="2530"/>
      <c r="U356" s="2530"/>
      <c r="V356" s="2530"/>
      <c r="W356" s="2530"/>
      <c r="X356" s="2530"/>
      <c r="Y356" s="2530"/>
      <c r="Z356" s="2530"/>
      <c r="AA356" s="2530"/>
      <c r="AB356" s="2530"/>
      <c r="AC356" s="2530"/>
      <c r="AD356" s="2530"/>
      <c r="AE356" s="2530"/>
      <c r="AF356" s="2530"/>
      <c r="AG356" s="2530"/>
      <c r="AH356" s="2530"/>
      <c r="AI356" s="2530"/>
      <c r="AJ356" s="2530"/>
      <c r="AK356" s="601"/>
      <c r="AL356" s="601"/>
      <c r="AM356" s="601"/>
      <c r="AN356" s="595"/>
    </row>
    <row r="357" spans="1:44" s="549" customFormat="1" ht="12.75" customHeight="1">
      <c r="A357" s="601"/>
      <c r="B357" s="609"/>
      <c r="C357" s="2530"/>
      <c r="D357" s="2530"/>
      <c r="E357" s="2530"/>
      <c r="F357" s="2530"/>
      <c r="G357" s="2530"/>
      <c r="H357" s="2530"/>
      <c r="I357" s="2530"/>
      <c r="J357" s="2530"/>
      <c r="K357" s="2530"/>
      <c r="L357" s="2530"/>
      <c r="M357" s="2530"/>
      <c r="N357" s="2530"/>
      <c r="O357" s="2530"/>
      <c r="P357" s="2530"/>
      <c r="Q357" s="2530"/>
      <c r="R357" s="2530"/>
      <c r="S357" s="2530"/>
      <c r="T357" s="2530"/>
      <c r="U357" s="2530"/>
      <c r="V357" s="2530"/>
      <c r="W357" s="2530"/>
      <c r="X357" s="2530"/>
      <c r="Y357" s="2530"/>
      <c r="Z357" s="2530"/>
      <c r="AA357" s="2530"/>
      <c r="AB357" s="2530"/>
      <c r="AC357" s="2530"/>
      <c r="AD357" s="2530"/>
      <c r="AE357" s="2530"/>
      <c r="AF357" s="2530"/>
      <c r="AG357" s="2530"/>
      <c r="AH357" s="2530"/>
      <c r="AI357" s="2530"/>
      <c r="AJ357" s="2530"/>
      <c r="AK357" s="601"/>
      <c r="AL357" s="601"/>
      <c r="AM357" s="601"/>
      <c r="AN357" s="595"/>
    </row>
    <row r="358" spans="1:44" s="549" customFormat="1" ht="12.75" customHeight="1">
      <c r="A358" s="601"/>
      <c r="B358" s="609"/>
      <c r="C358" s="2530"/>
      <c r="D358" s="2530"/>
      <c r="E358" s="2530"/>
      <c r="F358" s="2530"/>
      <c r="G358" s="2530"/>
      <c r="H358" s="2530"/>
      <c r="I358" s="2530"/>
      <c r="J358" s="2530"/>
      <c r="K358" s="2530"/>
      <c r="L358" s="2530"/>
      <c r="M358" s="2530"/>
      <c r="N358" s="2530"/>
      <c r="O358" s="2530"/>
      <c r="P358" s="2530"/>
      <c r="Q358" s="2530"/>
      <c r="R358" s="2530"/>
      <c r="S358" s="2530"/>
      <c r="T358" s="2530"/>
      <c r="U358" s="2530"/>
      <c r="V358" s="2530"/>
      <c r="W358" s="2530"/>
      <c r="X358" s="2530"/>
      <c r="Y358" s="2530"/>
      <c r="Z358" s="2530"/>
      <c r="AA358" s="2530"/>
      <c r="AB358" s="2530"/>
      <c r="AC358" s="2530"/>
      <c r="AD358" s="2530"/>
      <c r="AE358" s="2530"/>
      <c r="AF358" s="2530"/>
      <c r="AG358" s="2530"/>
      <c r="AH358" s="2530"/>
      <c r="AI358" s="2530"/>
      <c r="AJ358" s="2530"/>
      <c r="AK358" s="601"/>
      <c r="AL358" s="601"/>
      <c r="AM358" s="601"/>
      <c r="AN358" s="595"/>
      <c r="AQ358" s="568"/>
    </row>
    <row r="359" spans="1:44" s="549" customFormat="1" ht="12.75" customHeight="1">
      <c r="A359" s="601"/>
      <c r="B359" s="609"/>
      <c r="C359" s="2530"/>
      <c r="D359" s="2530"/>
      <c r="E359" s="2530"/>
      <c r="F359" s="2530"/>
      <c r="G359" s="2530"/>
      <c r="H359" s="2530"/>
      <c r="I359" s="2530"/>
      <c r="J359" s="2530"/>
      <c r="K359" s="2530"/>
      <c r="L359" s="2530"/>
      <c r="M359" s="2530"/>
      <c r="N359" s="2530"/>
      <c r="O359" s="2530"/>
      <c r="P359" s="2530"/>
      <c r="Q359" s="2530"/>
      <c r="R359" s="2530"/>
      <c r="S359" s="2530"/>
      <c r="T359" s="2530"/>
      <c r="U359" s="2530"/>
      <c r="V359" s="2530"/>
      <c r="W359" s="2530"/>
      <c r="X359" s="2530"/>
      <c r="Y359" s="2530"/>
      <c r="Z359" s="2530"/>
      <c r="AA359" s="2530"/>
      <c r="AB359" s="2530"/>
      <c r="AC359" s="2530"/>
      <c r="AD359" s="2530"/>
      <c r="AE359" s="2530"/>
      <c r="AF359" s="2530"/>
      <c r="AG359" s="2530"/>
      <c r="AH359" s="2530"/>
      <c r="AI359" s="2530"/>
      <c r="AJ359" s="2530"/>
      <c r="AK359" s="601"/>
      <c r="AL359" s="601"/>
      <c r="AM359" s="601"/>
      <c r="AN359" s="595"/>
      <c r="AQ359" s="568"/>
    </row>
    <row r="360" spans="1:44" s="549" customFormat="1" ht="12.45" customHeight="1">
      <c r="A360" s="601"/>
      <c r="B360" s="609"/>
      <c r="C360" s="2530"/>
      <c r="D360" s="2530"/>
      <c r="E360" s="2530"/>
      <c r="F360" s="2530"/>
      <c r="G360" s="2530"/>
      <c r="H360" s="2530"/>
      <c r="I360" s="2530"/>
      <c r="J360" s="2530"/>
      <c r="K360" s="2530"/>
      <c r="L360" s="2530"/>
      <c r="M360" s="2530"/>
      <c r="N360" s="2530"/>
      <c r="O360" s="2530"/>
      <c r="P360" s="2530"/>
      <c r="Q360" s="2530"/>
      <c r="R360" s="2530"/>
      <c r="S360" s="2530"/>
      <c r="T360" s="2530"/>
      <c r="U360" s="2530"/>
      <c r="V360" s="2530"/>
      <c r="W360" s="2530"/>
      <c r="X360" s="2530"/>
      <c r="Y360" s="2530"/>
      <c r="Z360" s="2530"/>
      <c r="AA360" s="2530"/>
      <c r="AB360" s="2530"/>
      <c r="AC360" s="2530"/>
      <c r="AD360" s="2530"/>
      <c r="AE360" s="2530"/>
      <c r="AF360" s="2530"/>
      <c r="AG360" s="2530"/>
      <c r="AH360" s="2530"/>
      <c r="AI360" s="2530"/>
      <c r="AJ360" s="2530"/>
      <c r="AK360" s="601"/>
      <c r="AL360" s="601"/>
      <c r="AM360" s="601"/>
      <c r="AN360" s="595"/>
      <c r="AQ360" s="568"/>
      <c r="AR360" s="568"/>
    </row>
    <row r="361" spans="1:44" s="549" customFormat="1" ht="45.75" customHeight="1">
      <c r="A361" s="601"/>
      <c r="B361" s="609"/>
      <c r="C361" s="2530" t="s">
        <v>2046</v>
      </c>
      <c r="D361" s="2530"/>
      <c r="E361" s="2530"/>
      <c r="F361" s="2530"/>
      <c r="G361" s="2530"/>
      <c r="H361" s="2530"/>
      <c r="I361" s="2530"/>
      <c r="J361" s="2530"/>
      <c r="K361" s="2530"/>
      <c r="L361" s="2530"/>
      <c r="M361" s="2530"/>
      <c r="N361" s="2530"/>
      <c r="O361" s="2530"/>
      <c r="P361" s="2530"/>
      <c r="Q361" s="2530"/>
      <c r="R361" s="2530"/>
      <c r="S361" s="2530"/>
      <c r="T361" s="2530"/>
      <c r="U361" s="2530"/>
      <c r="V361" s="2530"/>
      <c r="W361" s="2530"/>
      <c r="X361" s="2530"/>
      <c r="Y361" s="2530"/>
      <c r="Z361" s="2530"/>
      <c r="AA361" s="2530"/>
      <c r="AB361" s="2530"/>
      <c r="AC361" s="2530"/>
      <c r="AD361" s="2530"/>
      <c r="AE361" s="2530"/>
      <c r="AF361" s="2530"/>
      <c r="AG361" s="2530"/>
      <c r="AH361" s="2530"/>
      <c r="AI361" s="2530"/>
      <c r="AJ361" s="2530"/>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30" t="s">
        <v>2160</v>
      </c>
      <c r="D363" s="2530"/>
      <c r="E363" s="2530"/>
      <c r="F363" s="2530"/>
      <c r="G363" s="2530"/>
      <c r="H363" s="2530"/>
      <c r="I363" s="2530"/>
      <c r="J363" s="2530"/>
      <c r="K363" s="2530"/>
      <c r="L363" s="2530"/>
      <c r="M363" s="2530"/>
      <c r="N363" s="2530"/>
      <c r="O363" s="2530"/>
      <c r="P363" s="2530"/>
      <c r="Q363" s="2530"/>
      <c r="R363" s="2530"/>
      <c r="S363" s="2530"/>
      <c r="T363" s="2530"/>
      <c r="U363" s="2530"/>
      <c r="V363" s="2530"/>
      <c r="W363" s="2530"/>
      <c r="X363" s="2530"/>
      <c r="Y363" s="2530"/>
      <c r="Z363" s="2530"/>
      <c r="AA363" s="2530"/>
      <c r="AB363" s="2530"/>
      <c r="AC363" s="2530"/>
      <c r="AD363" s="2530"/>
      <c r="AE363" s="2530"/>
      <c r="AF363" s="2530"/>
      <c r="AG363" s="2530"/>
      <c r="AH363" s="2530"/>
      <c r="AI363" s="2530"/>
      <c r="AJ363" s="2530"/>
      <c r="AK363" s="601"/>
      <c r="AL363" s="601"/>
      <c r="AM363" s="601"/>
      <c r="AN363" s="595"/>
      <c r="AQ363" s="568"/>
      <c r="AR363" s="568"/>
    </row>
    <row r="364" spans="1:44" s="549" customFormat="1" ht="30" customHeight="1">
      <c r="A364" s="601"/>
      <c r="B364" s="609"/>
      <c r="C364" s="2530"/>
      <c r="D364" s="2530"/>
      <c r="E364" s="2530"/>
      <c r="F364" s="2530"/>
      <c r="G364" s="2530"/>
      <c r="H364" s="2530"/>
      <c r="I364" s="2530"/>
      <c r="J364" s="2530"/>
      <c r="K364" s="2530"/>
      <c r="L364" s="2530"/>
      <c r="M364" s="2530"/>
      <c r="N364" s="2530"/>
      <c r="O364" s="2530"/>
      <c r="P364" s="2530"/>
      <c r="Q364" s="2530"/>
      <c r="R364" s="2530"/>
      <c r="S364" s="2530"/>
      <c r="T364" s="2530"/>
      <c r="U364" s="2530"/>
      <c r="V364" s="2530"/>
      <c r="W364" s="2530"/>
      <c r="X364" s="2530"/>
      <c r="Y364" s="2530"/>
      <c r="Z364" s="2530"/>
      <c r="AA364" s="2530"/>
      <c r="AB364" s="2530"/>
      <c r="AC364" s="2530"/>
      <c r="AD364" s="2530"/>
      <c r="AE364" s="2530"/>
      <c r="AF364" s="2530"/>
      <c r="AG364" s="2530"/>
      <c r="AH364" s="2530"/>
      <c r="AI364" s="2530"/>
      <c r="AJ364" s="2530"/>
      <c r="AK364" s="601"/>
      <c r="AL364" s="601"/>
      <c r="AM364" s="601"/>
      <c r="AN364" s="595"/>
      <c r="AR364" s="568"/>
    </row>
    <row r="365" spans="1:44" s="549" customFormat="1" ht="12.75" customHeight="1">
      <c r="A365" s="601"/>
      <c r="B365" s="609"/>
      <c r="C365" s="2530"/>
      <c r="D365" s="2530"/>
      <c r="E365" s="2530"/>
      <c r="F365" s="2530"/>
      <c r="G365" s="2530"/>
      <c r="H365" s="2530"/>
      <c r="I365" s="2530"/>
      <c r="J365" s="2530"/>
      <c r="K365" s="2530"/>
      <c r="L365" s="2530"/>
      <c r="M365" s="2530"/>
      <c r="N365" s="2530"/>
      <c r="O365" s="2530"/>
      <c r="P365" s="2530"/>
      <c r="Q365" s="2530"/>
      <c r="R365" s="2530"/>
      <c r="S365" s="2530"/>
      <c r="T365" s="2530"/>
      <c r="U365" s="2530"/>
      <c r="V365" s="2530"/>
      <c r="W365" s="2530"/>
      <c r="X365" s="2530"/>
      <c r="Y365" s="2530"/>
      <c r="Z365" s="2530"/>
      <c r="AA365" s="2530"/>
      <c r="AB365" s="2530"/>
      <c r="AC365" s="2530"/>
      <c r="AD365" s="2530"/>
      <c r="AE365" s="2530"/>
      <c r="AF365" s="2530"/>
      <c r="AG365" s="2530"/>
      <c r="AH365" s="2530"/>
      <c r="AI365" s="2530"/>
      <c r="AJ365" s="2530"/>
      <c r="AK365" s="601"/>
      <c r="AL365" s="601"/>
      <c r="AM365" s="601"/>
      <c r="AN365" s="595"/>
      <c r="AR365" s="568"/>
    </row>
    <row r="366" spans="1:44" s="549" customFormat="1" ht="12.75" customHeight="1">
      <c r="A366" s="601"/>
      <c r="B366" s="609"/>
      <c r="C366" s="2530" t="s">
        <v>1445</v>
      </c>
      <c r="D366" s="2530"/>
      <c r="E366" s="2530"/>
      <c r="F366" s="2530"/>
      <c r="G366" s="2530"/>
      <c r="H366" s="2530"/>
      <c r="I366" s="2530"/>
      <c r="J366" s="2530"/>
      <c r="K366" s="2530"/>
      <c r="L366" s="2530"/>
      <c r="M366" s="2530"/>
      <c r="N366" s="2530"/>
      <c r="O366" s="2530"/>
      <c r="P366" s="2530"/>
      <c r="Q366" s="2530"/>
      <c r="R366" s="2530"/>
      <c r="S366" s="2530"/>
      <c r="T366" s="2530"/>
      <c r="U366" s="2530"/>
      <c r="V366" s="2530"/>
      <c r="W366" s="2530"/>
      <c r="X366" s="2530"/>
      <c r="Y366" s="2530"/>
      <c r="Z366" s="2530"/>
      <c r="AA366" s="2530"/>
      <c r="AB366" s="2530"/>
      <c r="AC366" s="2530"/>
      <c r="AD366" s="2530"/>
      <c r="AE366" s="2530"/>
      <c r="AF366" s="2530"/>
      <c r="AG366" s="2530"/>
      <c r="AH366" s="2530"/>
      <c r="AI366" s="2530"/>
      <c r="AJ366" s="2530"/>
      <c r="AK366" s="601"/>
      <c r="AL366" s="601"/>
      <c r="AM366" s="601"/>
      <c r="AN366" s="595"/>
      <c r="AQ366" s="568"/>
      <c r="AR366" s="568"/>
    </row>
    <row r="367" spans="1:44" s="549" customFormat="1" ht="12.75" customHeight="1">
      <c r="A367" s="601"/>
      <c r="B367" s="609"/>
      <c r="C367" s="2530"/>
      <c r="D367" s="2530"/>
      <c r="E367" s="2530"/>
      <c r="F367" s="2530"/>
      <c r="G367" s="2530"/>
      <c r="H367" s="2530"/>
      <c r="I367" s="2530"/>
      <c r="J367" s="2530"/>
      <c r="K367" s="2530"/>
      <c r="L367" s="2530"/>
      <c r="M367" s="2530"/>
      <c r="N367" s="2530"/>
      <c r="O367" s="2530"/>
      <c r="P367" s="2530"/>
      <c r="Q367" s="2530"/>
      <c r="R367" s="2530"/>
      <c r="S367" s="2530"/>
      <c r="T367" s="2530"/>
      <c r="U367" s="2530"/>
      <c r="V367" s="2530"/>
      <c r="W367" s="2530"/>
      <c r="X367" s="2530"/>
      <c r="Y367" s="2530"/>
      <c r="Z367" s="2530"/>
      <c r="AA367" s="2530"/>
      <c r="AB367" s="2530"/>
      <c r="AC367" s="2530"/>
      <c r="AD367" s="2530"/>
      <c r="AE367" s="2530"/>
      <c r="AF367" s="2530"/>
      <c r="AG367" s="2530"/>
      <c r="AH367" s="2530"/>
      <c r="AI367" s="2530"/>
      <c r="AJ367" s="2530"/>
      <c r="AK367" s="601"/>
      <c r="AL367" s="601"/>
      <c r="AM367" s="601"/>
      <c r="AN367" s="595"/>
      <c r="AQ367" s="568"/>
      <c r="AR367" s="568"/>
    </row>
    <row r="368" spans="1:44" s="549" customFormat="1" ht="13.2" customHeight="1">
      <c r="A368" s="601"/>
      <c r="B368" s="609"/>
      <c r="C368" s="2530"/>
      <c r="D368" s="2530"/>
      <c r="E368" s="2530"/>
      <c r="F368" s="2530"/>
      <c r="G368" s="2530"/>
      <c r="H368" s="2530"/>
      <c r="I368" s="2530"/>
      <c r="J368" s="2530"/>
      <c r="K368" s="2530"/>
      <c r="L368" s="2530"/>
      <c r="M368" s="2530"/>
      <c r="N368" s="2530"/>
      <c r="O368" s="2530"/>
      <c r="P368" s="2530"/>
      <c r="Q368" s="2530"/>
      <c r="R368" s="2530"/>
      <c r="S368" s="2530"/>
      <c r="T368" s="2530"/>
      <c r="U368" s="2530"/>
      <c r="V368" s="2530"/>
      <c r="W368" s="2530"/>
      <c r="X368" s="2530"/>
      <c r="Y368" s="2530"/>
      <c r="Z368" s="2530"/>
      <c r="AA368" s="2530"/>
      <c r="AB368" s="2530"/>
      <c r="AC368" s="2530"/>
      <c r="AD368" s="2530"/>
      <c r="AE368" s="2530"/>
      <c r="AF368" s="2530"/>
      <c r="AG368" s="2530"/>
      <c r="AH368" s="2530"/>
      <c r="AI368" s="2530"/>
      <c r="AJ368" s="2530"/>
      <c r="AK368" s="601"/>
      <c r="AL368" s="601"/>
      <c r="AM368" s="601"/>
      <c r="AN368" s="595"/>
      <c r="AQ368" s="568"/>
      <c r="AR368" s="568"/>
    </row>
    <row r="369" spans="1:46" s="549" customFormat="1" ht="12.75" customHeight="1">
      <c r="A369" s="601"/>
      <c r="B369" s="609"/>
      <c r="C369" s="2530"/>
      <c r="D369" s="2530"/>
      <c r="E369" s="2530"/>
      <c r="F369" s="2530"/>
      <c r="G369" s="2530"/>
      <c r="H369" s="2530"/>
      <c r="I369" s="2530"/>
      <c r="J369" s="2530"/>
      <c r="K369" s="2530"/>
      <c r="L369" s="2530"/>
      <c r="M369" s="2530"/>
      <c r="N369" s="2530"/>
      <c r="O369" s="2530"/>
      <c r="P369" s="2530"/>
      <c r="Q369" s="2530"/>
      <c r="R369" s="2530"/>
      <c r="S369" s="2530"/>
      <c r="T369" s="2530"/>
      <c r="U369" s="2530"/>
      <c r="V369" s="2530"/>
      <c r="W369" s="2530"/>
      <c r="X369" s="2530"/>
      <c r="Y369" s="2530"/>
      <c r="Z369" s="2530"/>
      <c r="AA369" s="2530"/>
      <c r="AB369" s="2530"/>
      <c r="AC369" s="2530"/>
      <c r="AD369" s="2530"/>
      <c r="AE369" s="2530"/>
      <c r="AF369" s="2530"/>
      <c r="AG369" s="2530"/>
      <c r="AH369" s="2530"/>
      <c r="AI369" s="2530"/>
      <c r="AJ369" s="2530"/>
      <c r="AK369" s="601"/>
      <c r="AL369" s="601"/>
      <c r="AM369" s="601"/>
      <c r="AN369" s="595"/>
      <c r="AO369" s="690"/>
      <c r="AP369" s="690"/>
      <c r="AQ369" s="568"/>
    </row>
    <row r="370" spans="1:46" s="549" customFormat="1" ht="11.85" customHeight="1">
      <c r="A370" s="601"/>
      <c r="B370" s="609"/>
      <c r="C370" s="2530"/>
      <c r="D370" s="2530"/>
      <c r="E370" s="2530"/>
      <c r="F370" s="2530"/>
      <c r="G370" s="2530"/>
      <c r="H370" s="2530"/>
      <c r="I370" s="2530"/>
      <c r="J370" s="2530"/>
      <c r="K370" s="2530"/>
      <c r="L370" s="2530"/>
      <c r="M370" s="2530"/>
      <c r="N370" s="2530"/>
      <c r="O370" s="2530"/>
      <c r="P370" s="2530"/>
      <c r="Q370" s="2530"/>
      <c r="R370" s="2530"/>
      <c r="S370" s="2530"/>
      <c r="T370" s="2530"/>
      <c r="U370" s="2530"/>
      <c r="V370" s="2530"/>
      <c r="W370" s="2530"/>
      <c r="X370" s="2530"/>
      <c r="Y370" s="2530"/>
      <c r="Z370" s="2530"/>
      <c r="AA370" s="2530"/>
      <c r="AB370" s="2530"/>
      <c r="AC370" s="2530"/>
      <c r="AD370" s="2530"/>
      <c r="AE370" s="2530"/>
      <c r="AF370" s="2530"/>
      <c r="AG370" s="2530"/>
      <c r="AH370" s="2530"/>
      <c r="AI370" s="2530"/>
      <c r="AJ370" s="2530"/>
      <c r="AK370" s="601"/>
      <c r="AL370" s="601"/>
      <c r="AM370" s="601"/>
      <c r="AN370" s="595"/>
      <c r="AO370" s="691" t="s">
        <v>112</v>
      </c>
      <c r="AP370" s="692">
        <f>IF(C394="Yes",5,0)</f>
        <v>0</v>
      </c>
      <c r="AS370" s="539" t="s">
        <v>1446</v>
      </c>
    </row>
    <row r="371" spans="1:46" s="549" customFormat="1" ht="12.75" customHeight="1">
      <c r="A371" s="601"/>
      <c r="B371" s="609"/>
      <c r="C371" s="2530"/>
      <c r="D371" s="2530"/>
      <c r="E371" s="2530"/>
      <c r="F371" s="2530"/>
      <c r="G371" s="2530"/>
      <c r="H371" s="2530"/>
      <c r="I371" s="2530"/>
      <c r="J371" s="2530"/>
      <c r="K371" s="2530"/>
      <c r="L371" s="2530"/>
      <c r="M371" s="2530"/>
      <c r="N371" s="2530"/>
      <c r="O371" s="2530"/>
      <c r="P371" s="2530"/>
      <c r="Q371" s="2530"/>
      <c r="R371" s="2530"/>
      <c r="S371" s="2530"/>
      <c r="T371" s="2530"/>
      <c r="U371" s="2530"/>
      <c r="V371" s="2530"/>
      <c r="W371" s="2530"/>
      <c r="X371" s="2530"/>
      <c r="Y371" s="2530"/>
      <c r="Z371" s="2530"/>
      <c r="AA371" s="2530"/>
      <c r="AB371" s="2530"/>
      <c r="AC371" s="2530"/>
      <c r="AD371" s="2530"/>
      <c r="AE371" s="2530"/>
      <c r="AF371" s="2530"/>
      <c r="AG371" s="2530"/>
      <c r="AH371" s="2530"/>
      <c r="AI371" s="2530"/>
      <c r="AJ371" s="2530"/>
      <c r="AK371" s="601"/>
      <c r="AL371" s="601"/>
      <c r="AM371" s="601"/>
      <c r="AN371" s="595"/>
      <c r="AO371" s="691" t="s">
        <v>113</v>
      </c>
      <c r="AP371" s="692">
        <f>IF(C402="Yes",5,0)</f>
        <v>0</v>
      </c>
      <c r="AS371" s="2560">
        <f>IF(Application!D211="Non-Targeted",(SUM(AQ379+AQ388)),AS375)</f>
        <v>10</v>
      </c>
      <c r="AT371" s="2560"/>
    </row>
    <row r="372" spans="1:46" s="549" customFormat="1" ht="12.75" customHeight="1">
      <c r="A372" s="601"/>
      <c r="B372" s="609"/>
      <c r="C372" s="2530"/>
      <c r="D372" s="2530"/>
      <c r="E372" s="2530"/>
      <c r="F372" s="2530"/>
      <c r="G372" s="2530"/>
      <c r="H372" s="2530"/>
      <c r="I372" s="2530"/>
      <c r="J372" s="2530"/>
      <c r="K372" s="2530"/>
      <c r="L372" s="2530"/>
      <c r="M372" s="2530"/>
      <c r="N372" s="2530"/>
      <c r="O372" s="2530"/>
      <c r="P372" s="2530"/>
      <c r="Q372" s="2530"/>
      <c r="R372" s="2530"/>
      <c r="S372" s="2530"/>
      <c r="T372" s="2530"/>
      <c r="U372" s="2530"/>
      <c r="V372" s="2530"/>
      <c r="W372" s="2530"/>
      <c r="X372" s="2530"/>
      <c r="Y372" s="2530"/>
      <c r="Z372" s="2530"/>
      <c r="AA372" s="2530"/>
      <c r="AB372" s="2530"/>
      <c r="AC372" s="2530"/>
      <c r="AD372" s="2530"/>
      <c r="AE372" s="2530"/>
      <c r="AF372" s="2530"/>
      <c r="AG372" s="2530"/>
      <c r="AH372" s="2530"/>
      <c r="AI372" s="2530"/>
      <c r="AJ372" s="2530"/>
      <c r="AK372" s="601"/>
      <c r="AL372" s="601"/>
      <c r="AM372" s="601"/>
      <c r="AN372" s="595"/>
      <c r="AO372" s="691" t="s">
        <v>119</v>
      </c>
      <c r="AP372" s="692">
        <f>IF(C410="Yes",7,0)</f>
        <v>0</v>
      </c>
      <c r="AS372" s="539" t="s">
        <v>1447</v>
      </c>
    </row>
    <row r="373" spans="1:46" s="549" customFormat="1" ht="12.75" customHeight="1">
      <c r="B373" s="609"/>
      <c r="C373" s="2530"/>
      <c r="D373" s="2530"/>
      <c r="E373" s="2530"/>
      <c r="F373" s="2530"/>
      <c r="G373" s="2530"/>
      <c r="H373" s="2530"/>
      <c r="I373" s="2530"/>
      <c r="J373" s="2530"/>
      <c r="K373" s="2530"/>
      <c r="L373" s="2530"/>
      <c r="M373" s="2530"/>
      <c r="N373" s="2530"/>
      <c r="O373" s="2530"/>
      <c r="P373" s="2530"/>
      <c r="Q373" s="2530"/>
      <c r="R373" s="2530"/>
      <c r="S373" s="2530"/>
      <c r="T373" s="2530"/>
      <c r="U373" s="2530"/>
      <c r="V373" s="2530"/>
      <c r="W373" s="2530"/>
      <c r="X373" s="2530"/>
      <c r="Y373" s="2530"/>
      <c r="Z373" s="2530"/>
      <c r="AA373" s="2530"/>
      <c r="AB373" s="2530"/>
      <c r="AC373" s="2530"/>
      <c r="AD373" s="2530"/>
      <c r="AE373" s="2530"/>
      <c r="AF373" s="2530"/>
      <c r="AG373" s="2530"/>
      <c r="AH373" s="2530"/>
      <c r="AI373" s="2530"/>
      <c r="AJ373" s="2530"/>
      <c r="AK373" s="601"/>
      <c r="AL373" s="601"/>
      <c r="AM373" s="601"/>
      <c r="AN373" s="595"/>
      <c r="AO373" s="595"/>
      <c r="AP373" s="692">
        <f>IF(C412="Yes",5,0)</f>
        <v>0</v>
      </c>
      <c r="AS373" s="2560">
        <f>IF(AND(AQ379&gt;0,AQ388&gt;0),(AQ379+AQ388)/2,0)</f>
        <v>0</v>
      </c>
      <c r="AT373" s="2560"/>
    </row>
    <row r="374" spans="1:46" s="549" customFormat="1" ht="12.75" customHeight="1">
      <c r="A374" s="601"/>
      <c r="B374" s="609"/>
      <c r="C374" s="2530"/>
      <c r="D374" s="2530"/>
      <c r="E374" s="2530"/>
      <c r="F374" s="2530"/>
      <c r="G374" s="2530"/>
      <c r="H374" s="2530"/>
      <c r="I374" s="2530"/>
      <c r="J374" s="2530"/>
      <c r="K374" s="2530"/>
      <c r="L374" s="2530"/>
      <c r="M374" s="2530"/>
      <c r="N374" s="2530"/>
      <c r="O374" s="2530"/>
      <c r="P374" s="2530"/>
      <c r="Q374" s="2530"/>
      <c r="R374" s="2530"/>
      <c r="S374" s="2530"/>
      <c r="T374" s="2530"/>
      <c r="U374" s="2530"/>
      <c r="V374" s="2530"/>
      <c r="W374" s="2530"/>
      <c r="X374" s="2530"/>
      <c r="Y374" s="2530"/>
      <c r="Z374" s="2530"/>
      <c r="AA374" s="2530"/>
      <c r="AB374" s="2530"/>
      <c r="AC374" s="2530"/>
      <c r="AD374" s="2530"/>
      <c r="AE374" s="2530"/>
      <c r="AF374" s="2530"/>
      <c r="AG374" s="2530"/>
      <c r="AH374" s="2530"/>
      <c r="AI374" s="2530"/>
      <c r="AJ374" s="2530"/>
      <c r="AK374" s="601"/>
      <c r="AL374" s="601"/>
      <c r="AM374" s="601"/>
      <c r="AN374" s="595"/>
      <c r="AO374" s="691" t="s">
        <v>581</v>
      </c>
      <c r="AP374" s="692">
        <f>IF(C420="Yes",5,0)</f>
        <v>0</v>
      </c>
      <c r="AS374" s="539" t="s">
        <v>1851</v>
      </c>
    </row>
    <row r="375" spans="1:46" s="549" customFormat="1" ht="12.75" customHeight="1">
      <c r="A375" s="601"/>
      <c r="B375" s="609"/>
      <c r="C375" s="2561" t="s">
        <v>2184</v>
      </c>
      <c r="D375" s="2561"/>
      <c r="E375" s="2561"/>
      <c r="F375" s="2561"/>
      <c r="G375" s="2561"/>
      <c r="H375" s="2561"/>
      <c r="I375" s="2561"/>
      <c r="J375" s="2561"/>
      <c r="K375" s="2561"/>
      <c r="L375" s="2561"/>
      <c r="M375" s="2561"/>
      <c r="N375" s="2561"/>
      <c r="O375" s="2561"/>
      <c r="P375" s="2561"/>
      <c r="Q375" s="2561"/>
      <c r="R375" s="2561"/>
      <c r="S375" s="2561"/>
      <c r="T375" s="2561"/>
      <c r="U375" s="2561"/>
      <c r="V375" s="2561"/>
      <c r="W375" s="2561"/>
      <c r="X375" s="2561"/>
      <c r="Y375" s="2561"/>
      <c r="Z375" s="2561"/>
      <c r="AA375" s="2561"/>
      <c r="AB375" s="2561"/>
      <c r="AC375" s="2561"/>
      <c r="AD375" s="2561"/>
      <c r="AE375" s="2561"/>
      <c r="AF375" s="2561"/>
      <c r="AG375" s="2561"/>
      <c r="AH375" s="2561"/>
      <c r="AI375" s="2561"/>
      <c r="AJ375" s="2561"/>
      <c r="AK375" s="601"/>
      <c r="AL375" s="601"/>
      <c r="AM375" s="601"/>
      <c r="AN375" s="595"/>
      <c r="AO375" s="595"/>
      <c r="AP375" s="692">
        <f>IF(C422="Yes",3,0)</f>
        <v>0</v>
      </c>
      <c r="AS375" s="2560">
        <f>IF(AQ379=0,AQ388,AQ379)</f>
        <v>10</v>
      </c>
      <c r="AT375" s="2560"/>
    </row>
    <row r="376" spans="1:46" s="549" customFormat="1" ht="12.75" customHeight="1">
      <c r="A376" s="601"/>
      <c r="B376" s="609"/>
      <c r="C376" s="2561"/>
      <c r="D376" s="2561"/>
      <c r="E376" s="2561"/>
      <c r="F376" s="2561"/>
      <c r="G376" s="2561"/>
      <c r="H376" s="2561"/>
      <c r="I376" s="2561"/>
      <c r="J376" s="2561"/>
      <c r="K376" s="2561"/>
      <c r="L376" s="2561"/>
      <c r="M376" s="2561"/>
      <c r="N376" s="2561"/>
      <c r="O376" s="2561"/>
      <c r="P376" s="2561"/>
      <c r="Q376" s="2561"/>
      <c r="R376" s="2561"/>
      <c r="S376" s="2561"/>
      <c r="T376" s="2561"/>
      <c r="U376" s="2561"/>
      <c r="V376" s="2561"/>
      <c r="W376" s="2561"/>
      <c r="X376" s="2561"/>
      <c r="Y376" s="2561"/>
      <c r="Z376" s="2561"/>
      <c r="AA376" s="2561"/>
      <c r="AB376" s="2561"/>
      <c r="AC376" s="2561"/>
      <c r="AD376" s="2561"/>
      <c r="AE376" s="2561"/>
      <c r="AF376" s="2561"/>
      <c r="AG376" s="2561"/>
      <c r="AH376" s="2561"/>
      <c r="AI376" s="2561"/>
      <c r="AJ376" s="2561"/>
      <c r="AK376" s="601"/>
      <c r="AL376" s="601"/>
      <c r="AM376" s="601"/>
      <c r="AN376" s="595"/>
      <c r="AO376" s="691" t="s">
        <v>763</v>
      </c>
      <c r="AP376" s="692">
        <f>IF(C425="Yes",5,0)</f>
        <v>0</v>
      </c>
    </row>
    <row r="377" spans="1:46" s="549" customFormat="1" ht="12.75" customHeight="1">
      <c r="A377" s="601"/>
      <c r="B377" s="609"/>
      <c r="C377" s="2561"/>
      <c r="D377" s="2561"/>
      <c r="E377" s="2561"/>
      <c r="F377" s="2561"/>
      <c r="G377" s="2561"/>
      <c r="H377" s="2561"/>
      <c r="I377" s="2561"/>
      <c r="J377" s="2561"/>
      <c r="K377" s="2561"/>
      <c r="L377" s="2561"/>
      <c r="M377" s="2561"/>
      <c r="N377" s="2561"/>
      <c r="O377" s="2561"/>
      <c r="P377" s="2561"/>
      <c r="Q377" s="2561"/>
      <c r="R377" s="2561"/>
      <c r="S377" s="2561"/>
      <c r="T377" s="2561"/>
      <c r="U377" s="2561"/>
      <c r="V377" s="2561"/>
      <c r="W377" s="2561"/>
      <c r="X377" s="2561"/>
      <c r="Y377" s="2561"/>
      <c r="Z377" s="2561"/>
      <c r="AA377" s="2561"/>
      <c r="AB377" s="2561"/>
      <c r="AC377" s="2561"/>
      <c r="AD377" s="2561"/>
      <c r="AE377" s="2561"/>
      <c r="AF377" s="2561"/>
      <c r="AG377" s="2561"/>
      <c r="AH377" s="2561"/>
      <c r="AI377" s="2561"/>
      <c r="AJ377" s="2561"/>
      <c r="AK377" s="601"/>
      <c r="AL377" s="601"/>
      <c r="AM377" s="601"/>
      <c r="AN377" s="595"/>
      <c r="AO377" s="691" t="s">
        <v>584</v>
      </c>
      <c r="AP377" s="692">
        <f>IF(C434="Yes",5,0)</f>
        <v>0</v>
      </c>
    </row>
    <row r="378" spans="1:46" s="549" customFormat="1" ht="11.85" customHeight="1">
      <c r="A378" s="601"/>
      <c r="B378" s="609"/>
      <c r="C378" s="2561"/>
      <c r="D378" s="2561"/>
      <c r="E378" s="2561"/>
      <c r="F378" s="2561"/>
      <c r="G378" s="2561"/>
      <c r="H378" s="2561"/>
      <c r="I378" s="2561"/>
      <c r="J378" s="2561"/>
      <c r="K378" s="2561"/>
      <c r="L378" s="2561"/>
      <c r="M378" s="2561"/>
      <c r="N378" s="2561"/>
      <c r="O378" s="2561"/>
      <c r="P378" s="2561"/>
      <c r="Q378" s="2561"/>
      <c r="R378" s="2561"/>
      <c r="S378" s="2561"/>
      <c r="T378" s="2561"/>
      <c r="U378" s="2561"/>
      <c r="V378" s="2561"/>
      <c r="W378" s="2561"/>
      <c r="X378" s="2561"/>
      <c r="Y378" s="2561"/>
      <c r="Z378" s="2561"/>
      <c r="AA378" s="2561"/>
      <c r="AB378" s="2561"/>
      <c r="AC378" s="2561"/>
      <c r="AD378" s="2561"/>
      <c r="AE378" s="2561"/>
      <c r="AF378" s="2561"/>
      <c r="AG378" s="2561"/>
      <c r="AH378" s="2561"/>
      <c r="AI378" s="2561"/>
      <c r="AJ378" s="2561"/>
      <c r="AK378" s="601"/>
      <c r="AL378" s="601"/>
      <c r="AM378" s="601"/>
      <c r="AN378" s="595"/>
      <c r="AO378" s="693"/>
      <c r="AP378" s="694">
        <f>IF(C436="Yes",3,0)</f>
        <v>0</v>
      </c>
    </row>
    <row r="379" spans="1:46" s="549" customFormat="1" ht="12.45" customHeight="1">
      <c r="A379" s="601"/>
      <c r="B379" s="609"/>
      <c r="C379" s="2561"/>
      <c r="D379" s="2561"/>
      <c r="E379" s="2561"/>
      <c r="F379" s="2561"/>
      <c r="G379" s="2561"/>
      <c r="H379" s="2561"/>
      <c r="I379" s="2561"/>
      <c r="J379" s="2561"/>
      <c r="K379" s="2561"/>
      <c r="L379" s="2561"/>
      <c r="M379" s="2561"/>
      <c r="N379" s="2561"/>
      <c r="O379" s="2561"/>
      <c r="P379" s="2561"/>
      <c r="Q379" s="2561"/>
      <c r="R379" s="2561"/>
      <c r="S379" s="2561"/>
      <c r="T379" s="2561"/>
      <c r="U379" s="2561"/>
      <c r="V379" s="2561"/>
      <c r="W379" s="2561"/>
      <c r="X379" s="2561"/>
      <c r="Y379" s="2561"/>
      <c r="Z379" s="2561"/>
      <c r="AA379" s="2561"/>
      <c r="AB379" s="2561"/>
      <c r="AC379" s="2561"/>
      <c r="AD379" s="2561"/>
      <c r="AE379" s="2561"/>
      <c r="AF379" s="2561"/>
      <c r="AG379" s="2561"/>
      <c r="AH379" s="2561"/>
      <c r="AI379" s="2561"/>
      <c r="AJ379" s="2561"/>
      <c r="AK379" s="601"/>
      <c r="AL379" s="601"/>
      <c r="AM379" s="601"/>
      <c r="AN379" s="595"/>
      <c r="AO379" s="695" t="s">
        <v>227</v>
      </c>
      <c r="AP379" s="696">
        <f>SUM(AP370:AP378)</f>
        <v>0</v>
      </c>
      <c r="AQ379" s="2562">
        <f>IF(AP379&gt;0,AP379,0)</f>
        <v>0</v>
      </c>
      <c r="AR379" s="2562"/>
    </row>
    <row r="380" spans="1:46" s="549" customFormat="1" ht="12.75" customHeight="1">
      <c r="A380" s="601"/>
      <c r="B380" s="609"/>
      <c r="C380" s="2561"/>
      <c r="D380" s="2561"/>
      <c r="E380" s="2561"/>
      <c r="F380" s="2561"/>
      <c r="G380" s="2561"/>
      <c r="H380" s="2561"/>
      <c r="I380" s="2561"/>
      <c r="J380" s="2561"/>
      <c r="K380" s="2561"/>
      <c r="L380" s="2561"/>
      <c r="M380" s="2561"/>
      <c r="N380" s="2561"/>
      <c r="O380" s="2561"/>
      <c r="P380" s="2561"/>
      <c r="Q380" s="2561"/>
      <c r="R380" s="2561"/>
      <c r="S380" s="2561"/>
      <c r="T380" s="2561"/>
      <c r="U380" s="2561"/>
      <c r="V380" s="2561"/>
      <c r="W380" s="2561"/>
      <c r="X380" s="2561"/>
      <c r="Y380" s="2561"/>
      <c r="Z380" s="2561"/>
      <c r="AA380" s="2561"/>
      <c r="AB380" s="2561"/>
      <c r="AC380" s="2561"/>
      <c r="AD380" s="2561"/>
      <c r="AE380" s="2561"/>
      <c r="AF380" s="2561"/>
      <c r="AG380" s="2561"/>
      <c r="AH380" s="2561"/>
      <c r="AI380" s="2561"/>
      <c r="AJ380" s="256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5</v>
      </c>
    </row>
    <row r="382" spans="1:46" s="549" customFormat="1" ht="12.75" customHeight="1">
      <c r="A382" s="601"/>
      <c r="B382" s="609"/>
      <c r="C382" s="2530" t="s">
        <v>1448</v>
      </c>
      <c r="D382" s="2530"/>
      <c r="E382" s="2530"/>
      <c r="F382" s="2530"/>
      <c r="G382" s="2530"/>
      <c r="H382" s="2530"/>
      <c r="I382" s="2530"/>
      <c r="J382" s="2530"/>
      <c r="K382" s="2530"/>
      <c r="L382" s="2530"/>
      <c r="M382" s="2530"/>
      <c r="N382" s="2530"/>
      <c r="O382" s="2530"/>
      <c r="P382" s="2530"/>
      <c r="Q382" s="2530"/>
      <c r="R382" s="2530"/>
      <c r="S382" s="2530"/>
      <c r="T382" s="2530"/>
      <c r="U382" s="2530"/>
      <c r="V382" s="2530"/>
      <c r="W382" s="2530"/>
      <c r="X382" s="2530"/>
      <c r="Y382" s="2530"/>
      <c r="Z382" s="2530"/>
      <c r="AA382" s="2530"/>
      <c r="AB382" s="2530"/>
      <c r="AC382" s="2530"/>
      <c r="AD382" s="2530"/>
      <c r="AE382" s="2530"/>
      <c r="AF382" s="2530"/>
      <c r="AG382" s="2530"/>
      <c r="AH382" s="2530"/>
      <c r="AI382" s="2530"/>
      <c r="AJ382" s="2530"/>
      <c r="AK382" s="601"/>
      <c r="AL382" s="601"/>
      <c r="AM382" s="601"/>
      <c r="AN382" s="595"/>
      <c r="AO382" s="691" t="s">
        <v>456</v>
      </c>
      <c r="AP382" s="692">
        <f>IF(C455="Yes",5,0)</f>
        <v>5</v>
      </c>
    </row>
    <row r="383" spans="1:46" s="549" customFormat="1" ht="12.75" customHeight="1">
      <c r="A383" s="601"/>
      <c r="B383" s="609"/>
      <c r="C383" s="2530"/>
      <c r="D383" s="2530"/>
      <c r="E383" s="2530"/>
      <c r="F383" s="2530"/>
      <c r="G383" s="2530"/>
      <c r="H383" s="2530"/>
      <c r="I383" s="2530"/>
      <c r="J383" s="2530"/>
      <c r="K383" s="2530"/>
      <c r="L383" s="2530"/>
      <c r="M383" s="2530"/>
      <c r="N383" s="2530"/>
      <c r="O383" s="2530"/>
      <c r="P383" s="2530"/>
      <c r="Q383" s="2530"/>
      <c r="R383" s="2530"/>
      <c r="S383" s="2530"/>
      <c r="T383" s="2530"/>
      <c r="U383" s="2530"/>
      <c r="V383" s="2530"/>
      <c r="W383" s="2530"/>
      <c r="X383" s="2530"/>
      <c r="Y383" s="2530"/>
      <c r="Z383" s="2530"/>
      <c r="AA383" s="2530"/>
      <c r="AB383" s="2530"/>
      <c r="AC383" s="2530"/>
      <c r="AD383" s="2530"/>
      <c r="AE383" s="2530"/>
      <c r="AF383" s="2530"/>
      <c r="AG383" s="2530"/>
      <c r="AH383" s="2530"/>
      <c r="AI383" s="2530"/>
      <c r="AJ383" s="2530"/>
      <c r="AK383" s="601"/>
      <c r="AL383" s="601"/>
      <c r="AM383" s="601"/>
      <c r="AN383" s="595"/>
      <c r="AO383" s="691" t="s">
        <v>461</v>
      </c>
      <c r="AP383" s="692">
        <f>IF(C462="Yes",5,0)</f>
        <v>0</v>
      </c>
    </row>
    <row r="384" spans="1:46" s="549" customFormat="1" ht="68.099999999999994" customHeight="1">
      <c r="A384" s="601"/>
      <c r="B384" s="609"/>
      <c r="C384" s="2530"/>
      <c r="D384" s="2530"/>
      <c r="E384" s="2530"/>
      <c r="F384" s="2530"/>
      <c r="G384" s="2530"/>
      <c r="H384" s="2530"/>
      <c r="I384" s="2530"/>
      <c r="J384" s="2530"/>
      <c r="K384" s="2530"/>
      <c r="L384" s="2530"/>
      <c r="M384" s="2530"/>
      <c r="N384" s="2530"/>
      <c r="O384" s="2530"/>
      <c r="P384" s="2530"/>
      <c r="Q384" s="2530"/>
      <c r="R384" s="2530"/>
      <c r="S384" s="2530"/>
      <c r="T384" s="2530"/>
      <c r="U384" s="2530"/>
      <c r="V384" s="2530"/>
      <c r="W384" s="2530"/>
      <c r="X384" s="2530"/>
      <c r="Y384" s="2530"/>
      <c r="Z384" s="2530"/>
      <c r="AA384" s="2530"/>
      <c r="AB384" s="2530"/>
      <c r="AC384" s="2530"/>
      <c r="AD384" s="2530"/>
      <c r="AE384" s="2530"/>
      <c r="AF384" s="2530"/>
      <c r="AG384" s="2530"/>
      <c r="AH384" s="2530"/>
      <c r="AI384" s="2530"/>
      <c r="AJ384" s="2530"/>
      <c r="AK384" s="601"/>
      <c r="AL384" s="601"/>
      <c r="AM384" s="601"/>
      <c r="AN384" s="595"/>
      <c r="AO384" s="691" t="s">
        <v>646</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26">
        <f>Application!DU810-U387</f>
        <v>0</v>
      </c>
      <c r="V386" s="2626"/>
      <c r="W386" s="262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27">
        <f>IF(Application!D211="SRO",Application!DU763,Application!AG764)</f>
        <v>98</v>
      </c>
      <c r="V387" s="2627"/>
      <c r="W387" s="262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10</v>
      </c>
      <c r="AQ388" s="2562">
        <f>IF(AP388&gt;0,AP388,0)</f>
        <v>10</v>
      </c>
      <c r="AR388" s="2562"/>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34" t="s">
        <v>1450</v>
      </c>
      <c r="G390" s="2534"/>
      <c r="H390" s="2534"/>
      <c r="I390" s="2534"/>
      <c r="J390" s="2534"/>
      <c r="K390" s="2534"/>
      <c r="L390" s="2534"/>
      <c r="M390" s="2534"/>
      <c r="N390" s="2534"/>
      <c r="O390" s="2534"/>
      <c r="P390" s="2534"/>
      <c r="Q390" s="2534"/>
      <c r="R390" s="2534"/>
      <c r="S390" s="2534"/>
      <c r="T390" s="2534"/>
      <c r="U390" s="2534"/>
      <c r="V390" s="2534"/>
      <c r="W390" s="2534"/>
      <c r="X390" s="2534"/>
      <c r="Y390" s="2534"/>
      <c r="Z390" s="2534"/>
      <c r="AA390" s="2534"/>
      <c r="AB390" s="2534"/>
      <c r="AC390" s="2534"/>
      <c r="AD390" s="2534"/>
      <c r="AE390" s="2534"/>
      <c r="AF390" s="253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07"/>
      <c r="G391" s="2407"/>
      <c r="H391" s="2407"/>
      <c r="I391" s="2407"/>
      <c r="J391" s="2407"/>
      <c r="K391" s="2407"/>
      <c r="L391" s="2407"/>
      <c r="M391" s="2407"/>
      <c r="N391" s="2407"/>
      <c r="O391" s="2407"/>
      <c r="P391" s="2407"/>
      <c r="Q391" s="2407"/>
      <c r="R391" s="2407"/>
      <c r="S391" s="2407"/>
      <c r="T391" s="2407"/>
      <c r="U391" s="2407"/>
      <c r="V391" s="2407"/>
      <c r="W391" s="2407"/>
      <c r="X391" s="2407"/>
      <c r="Y391" s="2407"/>
      <c r="Z391" s="2407"/>
      <c r="AA391" s="2407"/>
      <c r="AB391" s="2407"/>
      <c r="AC391" s="2407"/>
      <c r="AD391" s="2407"/>
      <c r="AE391" s="2407"/>
      <c r="AF391" s="240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07"/>
      <c r="G392" s="2407"/>
      <c r="H392" s="2407"/>
      <c r="I392" s="2407"/>
      <c r="J392" s="2407"/>
      <c r="K392" s="2407"/>
      <c r="L392" s="2407"/>
      <c r="M392" s="2407"/>
      <c r="N392" s="2407"/>
      <c r="O392" s="2407"/>
      <c r="P392" s="2407"/>
      <c r="Q392" s="2407"/>
      <c r="R392" s="2407"/>
      <c r="S392" s="2407"/>
      <c r="T392" s="2407"/>
      <c r="U392" s="2407"/>
      <c r="V392" s="2407"/>
      <c r="W392" s="2407"/>
      <c r="X392" s="2407"/>
      <c r="Y392" s="2407"/>
      <c r="Z392" s="2407"/>
      <c r="AA392" s="2407"/>
      <c r="AB392" s="2407"/>
      <c r="AC392" s="2407"/>
      <c r="AD392" s="2407"/>
      <c r="AE392" s="2407"/>
      <c r="AF392" s="240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07"/>
      <c r="G393" s="2407"/>
      <c r="H393" s="2407"/>
      <c r="I393" s="2407"/>
      <c r="J393" s="2407"/>
      <c r="K393" s="2407"/>
      <c r="L393" s="2407"/>
      <c r="M393" s="2407"/>
      <c r="N393" s="2407"/>
      <c r="O393" s="2407"/>
      <c r="P393" s="2407"/>
      <c r="Q393" s="2407"/>
      <c r="R393" s="2407"/>
      <c r="S393" s="2407"/>
      <c r="T393" s="2407"/>
      <c r="U393" s="2407"/>
      <c r="V393" s="2407"/>
      <c r="W393" s="2407"/>
      <c r="X393" s="2407"/>
      <c r="Y393" s="2407"/>
      <c r="Z393" s="2407"/>
      <c r="AA393" s="2407"/>
      <c r="AB393" s="2407"/>
      <c r="AC393" s="2407"/>
      <c r="AD393" s="2407"/>
      <c r="AE393" s="2407"/>
      <c r="AF393" s="240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31" t="s">
        <v>591</v>
      </c>
      <c r="D394" s="2491"/>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32" t="s">
        <v>1452</v>
      </c>
      <c r="AG394" s="2532"/>
      <c r="AH394" s="2532"/>
      <c r="AI394" s="2532"/>
      <c r="AJ394" s="2532"/>
      <c r="AK394" s="2532"/>
      <c r="AL394" s="253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34" t="s">
        <v>1453</v>
      </c>
      <c r="G397" s="2534"/>
      <c r="H397" s="2534"/>
      <c r="I397" s="2534"/>
      <c r="J397" s="2534"/>
      <c r="K397" s="2534"/>
      <c r="L397" s="2534"/>
      <c r="M397" s="2534"/>
      <c r="N397" s="2534"/>
      <c r="O397" s="2534"/>
      <c r="P397" s="2534"/>
      <c r="Q397" s="2534"/>
      <c r="R397" s="2534"/>
      <c r="S397" s="2534"/>
      <c r="T397" s="2534"/>
      <c r="U397" s="2534"/>
      <c r="V397" s="2534"/>
      <c r="W397" s="2534"/>
      <c r="X397" s="2534"/>
      <c r="Y397" s="2534"/>
      <c r="Z397" s="2534"/>
      <c r="AA397" s="2534"/>
      <c r="AB397" s="2534"/>
      <c r="AC397" s="2534"/>
      <c r="AD397" s="2534"/>
      <c r="AE397" s="2534"/>
      <c r="AF397" s="253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07"/>
      <c r="G398" s="2407"/>
      <c r="H398" s="2407"/>
      <c r="I398" s="2407"/>
      <c r="J398" s="2407"/>
      <c r="K398" s="2407"/>
      <c r="L398" s="2407"/>
      <c r="M398" s="2407"/>
      <c r="N398" s="2407"/>
      <c r="O398" s="2407"/>
      <c r="P398" s="2407"/>
      <c r="Q398" s="2407"/>
      <c r="R398" s="2407"/>
      <c r="S398" s="2407"/>
      <c r="T398" s="2407"/>
      <c r="U398" s="2407"/>
      <c r="V398" s="2407"/>
      <c r="W398" s="2407"/>
      <c r="X398" s="2407"/>
      <c r="Y398" s="2407"/>
      <c r="Z398" s="2407"/>
      <c r="AA398" s="2407"/>
      <c r="AB398" s="2407"/>
      <c r="AC398" s="2407"/>
      <c r="AD398" s="2407"/>
      <c r="AE398" s="2407"/>
      <c r="AF398" s="240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07"/>
      <c r="G399" s="2407"/>
      <c r="H399" s="2407"/>
      <c r="I399" s="2407"/>
      <c r="J399" s="2407"/>
      <c r="K399" s="2407"/>
      <c r="L399" s="2407"/>
      <c r="M399" s="2407"/>
      <c r="N399" s="2407"/>
      <c r="O399" s="2407"/>
      <c r="P399" s="2407"/>
      <c r="Q399" s="2407"/>
      <c r="R399" s="2407"/>
      <c r="S399" s="2407"/>
      <c r="T399" s="2407"/>
      <c r="U399" s="2407"/>
      <c r="V399" s="2407"/>
      <c r="W399" s="2407"/>
      <c r="X399" s="2407"/>
      <c r="Y399" s="2407"/>
      <c r="Z399" s="2407"/>
      <c r="AA399" s="2407"/>
      <c r="AB399" s="2407"/>
      <c r="AC399" s="2407"/>
      <c r="AD399" s="2407"/>
      <c r="AE399" s="2407"/>
      <c r="AF399" s="240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07"/>
      <c r="G400" s="2407"/>
      <c r="H400" s="2407"/>
      <c r="I400" s="2407"/>
      <c r="J400" s="2407"/>
      <c r="K400" s="2407"/>
      <c r="L400" s="2407"/>
      <c r="M400" s="2407"/>
      <c r="N400" s="2407"/>
      <c r="O400" s="2407"/>
      <c r="P400" s="2407"/>
      <c r="Q400" s="2407"/>
      <c r="R400" s="2407"/>
      <c r="S400" s="2407"/>
      <c r="T400" s="2407"/>
      <c r="U400" s="2407"/>
      <c r="V400" s="2407"/>
      <c r="W400" s="2407"/>
      <c r="X400" s="2407"/>
      <c r="Y400" s="2407"/>
      <c r="Z400" s="2407"/>
      <c r="AA400" s="2407"/>
      <c r="AB400" s="2407"/>
      <c r="AC400" s="2407"/>
      <c r="AD400" s="2407"/>
      <c r="AE400" s="2407"/>
      <c r="AF400" s="240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07"/>
      <c r="G401" s="2407"/>
      <c r="H401" s="2407"/>
      <c r="I401" s="2407"/>
      <c r="J401" s="2407"/>
      <c r="K401" s="2407"/>
      <c r="L401" s="2407"/>
      <c r="M401" s="2407"/>
      <c r="N401" s="2407"/>
      <c r="O401" s="2407"/>
      <c r="P401" s="2407"/>
      <c r="Q401" s="2407"/>
      <c r="R401" s="2407"/>
      <c r="S401" s="2407"/>
      <c r="T401" s="2407"/>
      <c r="U401" s="2407"/>
      <c r="V401" s="2407"/>
      <c r="W401" s="2407"/>
      <c r="X401" s="2407"/>
      <c r="Y401" s="2407"/>
      <c r="Z401" s="2407"/>
      <c r="AA401" s="2407"/>
      <c r="AB401" s="2407"/>
      <c r="AC401" s="2407"/>
      <c r="AD401" s="2407"/>
      <c r="AE401" s="2407"/>
      <c r="AF401" s="2407"/>
      <c r="AL401" s="728"/>
      <c r="AN401" s="595"/>
      <c r="BS401" s="30"/>
      <c r="BT401" s="30"/>
      <c r="BU401" s="14"/>
      <c r="BV401" s="14"/>
      <c r="BW401" s="14"/>
      <c r="BX401" s="14"/>
      <c r="BY401" s="14"/>
      <c r="BZ401" s="14"/>
      <c r="CA401" s="14"/>
      <c r="CB401" s="14"/>
      <c r="CC401" s="14"/>
    </row>
    <row r="402" spans="1:81" s="549" customFormat="1" ht="12.75" customHeight="1">
      <c r="A402" s="536"/>
      <c r="B402" s="14"/>
      <c r="C402" s="2531" t="s">
        <v>591</v>
      </c>
      <c r="D402" s="2491"/>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32" t="s">
        <v>1452</v>
      </c>
      <c r="AG402" s="2532"/>
      <c r="AH402" s="2532"/>
      <c r="AI402" s="2532"/>
      <c r="AJ402" s="2532"/>
      <c r="AK402" s="2532"/>
      <c r="AL402" s="253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34" t="s">
        <v>1455</v>
      </c>
      <c r="G405" s="2534"/>
      <c r="H405" s="2534"/>
      <c r="I405" s="2534"/>
      <c r="J405" s="2534"/>
      <c r="K405" s="2534"/>
      <c r="L405" s="2534"/>
      <c r="M405" s="2534"/>
      <c r="N405" s="2534"/>
      <c r="O405" s="2534"/>
      <c r="P405" s="2534"/>
      <c r="Q405" s="2534"/>
      <c r="R405" s="2534"/>
      <c r="S405" s="2534"/>
      <c r="T405" s="2534"/>
      <c r="U405" s="2534"/>
      <c r="V405" s="2534"/>
      <c r="W405" s="2534"/>
      <c r="X405" s="2534"/>
      <c r="Y405" s="2534"/>
      <c r="Z405" s="2534"/>
      <c r="AA405" s="2534"/>
      <c r="AB405" s="2534"/>
      <c r="AC405" s="2534"/>
      <c r="AD405" s="2534"/>
      <c r="AE405" s="2534"/>
      <c r="AF405" s="253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07"/>
      <c r="G406" s="2407"/>
      <c r="H406" s="2407"/>
      <c r="I406" s="2407"/>
      <c r="J406" s="2407"/>
      <c r="K406" s="2407"/>
      <c r="L406" s="2407"/>
      <c r="M406" s="2407"/>
      <c r="N406" s="2407"/>
      <c r="O406" s="2407"/>
      <c r="P406" s="2407"/>
      <c r="Q406" s="2407"/>
      <c r="R406" s="2407"/>
      <c r="S406" s="2407"/>
      <c r="T406" s="2407"/>
      <c r="U406" s="2407"/>
      <c r="V406" s="2407"/>
      <c r="W406" s="2407"/>
      <c r="X406" s="2407"/>
      <c r="Y406" s="2407"/>
      <c r="Z406" s="2407"/>
      <c r="AA406" s="2407"/>
      <c r="AB406" s="2407"/>
      <c r="AC406" s="2407"/>
      <c r="AD406" s="2407"/>
      <c r="AE406" s="2407"/>
      <c r="AF406" s="240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07"/>
      <c r="G407" s="2407"/>
      <c r="H407" s="2407"/>
      <c r="I407" s="2407"/>
      <c r="J407" s="2407"/>
      <c r="K407" s="2407"/>
      <c r="L407" s="2407"/>
      <c r="M407" s="2407"/>
      <c r="N407" s="2407"/>
      <c r="O407" s="2407"/>
      <c r="P407" s="2407"/>
      <c r="Q407" s="2407"/>
      <c r="R407" s="2407"/>
      <c r="S407" s="2407"/>
      <c r="T407" s="2407"/>
      <c r="U407" s="2407"/>
      <c r="V407" s="2407"/>
      <c r="W407" s="2407"/>
      <c r="X407" s="2407"/>
      <c r="Y407" s="2407"/>
      <c r="Z407" s="2407"/>
      <c r="AA407" s="2407"/>
      <c r="AB407" s="2407"/>
      <c r="AC407" s="2407"/>
      <c r="AD407" s="2407"/>
      <c r="AE407" s="2407"/>
      <c r="AF407" s="240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07"/>
      <c r="G408" s="2407"/>
      <c r="H408" s="2407"/>
      <c r="I408" s="2407"/>
      <c r="J408" s="2407"/>
      <c r="K408" s="2407"/>
      <c r="L408" s="2407"/>
      <c r="M408" s="2407"/>
      <c r="N408" s="2407"/>
      <c r="O408" s="2407"/>
      <c r="P408" s="2407"/>
      <c r="Q408" s="2407"/>
      <c r="R408" s="2407"/>
      <c r="S408" s="2407"/>
      <c r="T408" s="2407"/>
      <c r="U408" s="2407"/>
      <c r="V408" s="2407"/>
      <c r="W408" s="2407"/>
      <c r="X408" s="2407"/>
      <c r="Y408" s="2407"/>
      <c r="Z408" s="2407"/>
      <c r="AA408" s="2407"/>
      <c r="AB408" s="2407"/>
      <c r="AC408" s="2407"/>
      <c r="AD408" s="2407"/>
      <c r="AE408" s="2407"/>
      <c r="AF408" s="240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07"/>
      <c r="G409" s="2407"/>
      <c r="H409" s="2407"/>
      <c r="I409" s="2407"/>
      <c r="J409" s="2407"/>
      <c r="K409" s="2407"/>
      <c r="L409" s="2407"/>
      <c r="M409" s="2407"/>
      <c r="N409" s="2407"/>
      <c r="O409" s="2407"/>
      <c r="P409" s="2407"/>
      <c r="Q409" s="2407"/>
      <c r="R409" s="2407"/>
      <c r="S409" s="2407"/>
      <c r="T409" s="2407"/>
      <c r="U409" s="2407"/>
      <c r="V409" s="2407"/>
      <c r="W409" s="2407"/>
      <c r="X409" s="2407"/>
      <c r="Y409" s="2407"/>
      <c r="Z409" s="2407"/>
      <c r="AA409" s="2407"/>
      <c r="AB409" s="2407"/>
      <c r="AC409" s="2407"/>
      <c r="AD409" s="2407"/>
      <c r="AE409" s="2407"/>
      <c r="AF409" s="240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31" t="s">
        <v>591</v>
      </c>
      <c r="D410" s="2491"/>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32" t="s">
        <v>1457</v>
      </c>
      <c r="AG410" s="2532"/>
      <c r="AH410" s="2532"/>
      <c r="AI410" s="2532"/>
      <c r="AJ410" s="2532"/>
      <c r="AK410" s="2532"/>
      <c r="AL410" s="253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31" t="s">
        <v>591</v>
      </c>
      <c r="D412" s="2491"/>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32" t="s">
        <v>1452</v>
      </c>
      <c r="AG412" s="2532"/>
      <c r="AH412" s="2532"/>
      <c r="AI412" s="2532"/>
      <c r="AJ412" s="2532"/>
      <c r="AK412" s="2532"/>
      <c r="AL412" s="253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34" t="s">
        <v>1461</v>
      </c>
      <c r="G416" s="2534"/>
      <c r="H416" s="2534"/>
      <c r="I416" s="2534"/>
      <c r="J416" s="2534"/>
      <c r="K416" s="2534"/>
      <c r="L416" s="2534"/>
      <c r="M416" s="2534"/>
      <c r="N416" s="2534"/>
      <c r="O416" s="2534"/>
      <c r="P416" s="2534"/>
      <c r="Q416" s="2534"/>
      <c r="R416" s="2534"/>
      <c r="S416" s="2534"/>
      <c r="T416" s="2534"/>
      <c r="U416" s="2534"/>
      <c r="V416" s="2534"/>
      <c r="W416" s="2534"/>
      <c r="X416" s="2534"/>
      <c r="Y416" s="2534"/>
      <c r="Z416" s="2534"/>
      <c r="AA416" s="2534"/>
      <c r="AB416" s="2534"/>
      <c r="AC416" s="2534"/>
      <c r="AD416" s="2534"/>
      <c r="AE416" s="2534"/>
      <c r="AF416" s="253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07"/>
      <c r="G417" s="2407"/>
      <c r="H417" s="2407"/>
      <c r="I417" s="2407"/>
      <c r="J417" s="2407"/>
      <c r="K417" s="2407"/>
      <c r="L417" s="2407"/>
      <c r="M417" s="2407"/>
      <c r="N417" s="2407"/>
      <c r="O417" s="2407"/>
      <c r="P417" s="2407"/>
      <c r="Q417" s="2407"/>
      <c r="R417" s="2407"/>
      <c r="S417" s="2407"/>
      <c r="T417" s="2407"/>
      <c r="U417" s="2407"/>
      <c r="V417" s="2407"/>
      <c r="W417" s="2407"/>
      <c r="X417" s="2407"/>
      <c r="Y417" s="2407"/>
      <c r="Z417" s="2407"/>
      <c r="AA417" s="2407"/>
      <c r="AB417" s="2407"/>
      <c r="AC417" s="2407"/>
      <c r="AD417" s="2407"/>
      <c r="AE417" s="2407"/>
      <c r="AF417" s="240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07"/>
      <c r="G418" s="2407"/>
      <c r="H418" s="2407"/>
      <c r="I418" s="2407"/>
      <c r="J418" s="2407"/>
      <c r="K418" s="2407"/>
      <c r="L418" s="2407"/>
      <c r="M418" s="2407"/>
      <c r="N418" s="2407"/>
      <c r="O418" s="2407"/>
      <c r="P418" s="2407"/>
      <c r="Q418" s="2407"/>
      <c r="R418" s="2407"/>
      <c r="S418" s="2407"/>
      <c r="T418" s="2407"/>
      <c r="U418" s="2407"/>
      <c r="V418" s="2407"/>
      <c r="W418" s="2407"/>
      <c r="X418" s="2407"/>
      <c r="Y418" s="2407"/>
      <c r="Z418" s="2407"/>
      <c r="AA418" s="2407"/>
      <c r="AB418" s="2407"/>
      <c r="AC418" s="2407"/>
      <c r="AD418" s="2407"/>
      <c r="AE418" s="2407"/>
      <c r="AF418" s="240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07"/>
      <c r="G419" s="2407"/>
      <c r="H419" s="2407"/>
      <c r="I419" s="2407"/>
      <c r="J419" s="2407"/>
      <c r="K419" s="2407"/>
      <c r="L419" s="2407"/>
      <c r="M419" s="2407"/>
      <c r="N419" s="2407"/>
      <c r="O419" s="2407"/>
      <c r="P419" s="2407"/>
      <c r="Q419" s="2407"/>
      <c r="R419" s="2407"/>
      <c r="S419" s="2407"/>
      <c r="T419" s="2407"/>
      <c r="U419" s="2407"/>
      <c r="V419" s="2407"/>
      <c r="W419" s="2407"/>
      <c r="X419" s="2407"/>
      <c r="Y419" s="2407"/>
      <c r="Z419" s="2407"/>
      <c r="AA419" s="2407"/>
      <c r="AB419" s="2407"/>
      <c r="AC419" s="2407"/>
      <c r="AD419" s="2407"/>
      <c r="AE419" s="2407"/>
      <c r="AF419" s="240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31" t="s">
        <v>591</v>
      </c>
      <c r="D420" s="2491"/>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32" t="s">
        <v>1452</v>
      </c>
      <c r="AG420" s="2532"/>
      <c r="AH420" s="2532"/>
      <c r="AI420" s="2532"/>
      <c r="AJ420" s="2532"/>
      <c r="AK420" s="2532"/>
      <c r="AL420" s="253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31" t="s">
        <v>591</v>
      </c>
      <c r="D422" s="2491"/>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32" t="s">
        <v>1464</v>
      </c>
      <c r="AG422" s="2532"/>
      <c r="AH422" s="2532"/>
      <c r="AI422" s="2532"/>
      <c r="AJ422" s="2532"/>
      <c r="AK422" s="2532"/>
      <c r="AL422" s="253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31" t="s">
        <v>591</v>
      </c>
      <c r="D425" s="2491"/>
      <c r="E425" s="711" t="s">
        <v>1465</v>
      </c>
      <c r="F425" s="2534" t="s">
        <v>1466</v>
      </c>
      <c r="G425" s="2534"/>
      <c r="H425" s="2534"/>
      <c r="I425" s="2534"/>
      <c r="J425" s="2534"/>
      <c r="K425" s="2534"/>
      <c r="L425" s="2534"/>
      <c r="M425" s="2534"/>
      <c r="N425" s="2534"/>
      <c r="O425" s="2534"/>
      <c r="P425" s="2534"/>
      <c r="Q425" s="2534"/>
      <c r="R425" s="2534"/>
      <c r="S425" s="2534"/>
      <c r="T425" s="2534"/>
      <c r="U425" s="2534"/>
      <c r="V425" s="2534"/>
      <c r="W425" s="2534"/>
      <c r="X425" s="2534"/>
      <c r="Y425" s="2534"/>
      <c r="Z425" s="2534"/>
      <c r="AA425" s="2534"/>
      <c r="AB425" s="2534"/>
      <c r="AC425" s="2534"/>
      <c r="AD425" s="2534"/>
      <c r="AE425" s="253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07"/>
      <c r="G426" s="2407"/>
      <c r="H426" s="2407"/>
      <c r="I426" s="2407"/>
      <c r="J426" s="2407"/>
      <c r="K426" s="2407"/>
      <c r="L426" s="2407"/>
      <c r="M426" s="2407"/>
      <c r="N426" s="2407"/>
      <c r="O426" s="2407"/>
      <c r="P426" s="2407"/>
      <c r="Q426" s="2407"/>
      <c r="R426" s="2407"/>
      <c r="S426" s="2407"/>
      <c r="T426" s="2407"/>
      <c r="U426" s="2407"/>
      <c r="V426" s="2407"/>
      <c r="W426" s="2407"/>
      <c r="X426" s="2407"/>
      <c r="Y426" s="2407"/>
      <c r="Z426" s="2407"/>
      <c r="AA426" s="2407"/>
      <c r="AB426" s="2407"/>
      <c r="AC426" s="2407"/>
      <c r="AD426" s="2407"/>
      <c r="AE426" s="2407"/>
      <c r="AF426" s="2469" t="s">
        <v>1452</v>
      </c>
      <c r="AG426" s="2469"/>
      <c r="AH426" s="2469"/>
      <c r="AI426" s="2469"/>
      <c r="AJ426" s="2469"/>
      <c r="AK426" s="2469"/>
      <c r="AL426" s="2535"/>
      <c r="AM426" s="568"/>
      <c r="AN426" s="595"/>
      <c r="BS426" s="568"/>
      <c r="BT426" s="568"/>
      <c r="BY426" s="568"/>
      <c r="BZ426" s="568"/>
      <c r="CA426" s="568"/>
      <c r="CB426" s="568"/>
      <c r="CC426" s="568"/>
    </row>
    <row r="427" spans="1:81" s="549" customFormat="1" ht="12.75" customHeight="1">
      <c r="A427" s="536"/>
      <c r="B427" s="14"/>
      <c r="C427" s="727"/>
      <c r="D427" s="14"/>
      <c r="E427" s="687"/>
      <c r="F427" s="2407"/>
      <c r="G427" s="2407"/>
      <c r="H427" s="2407"/>
      <c r="I427" s="2407"/>
      <c r="J427" s="2407"/>
      <c r="K427" s="2407"/>
      <c r="L427" s="2407"/>
      <c r="M427" s="2407"/>
      <c r="N427" s="2407"/>
      <c r="O427" s="2407"/>
      <c r="P427" s="2407"/>
      <c r="Q427" s="2407"/>
      <c r="R427" s="2407"/>
      <c r="S427" s="2407"/>
      <c r="T427" s="2407"/>
      <c r="U427" s="2407"/>
      <c r="V427" s="2407"/>
      <c r="W427" s="2407"/>
      <c r="X427" s="2407"/>
      <c r="Y427" s="2407"/>
      <c r="Z427" s="2407"/>
      <c r="AA427" s="2407"/>
      <c r="AB427" s="2407"/>
      <c r="AC427" s="2407"/>
      <c r="AD427" s="2407"/>
      <c r="AE427" s="240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63"/>
      <c r="G428" s="2563"/>
      <c r="H428" s="2563"/>
      <c r="I428" s="2563"/>
      <c r="J428" s="2563"/>
      <c r="K428" s="2563"/>
      <c r="L428" s="2563"/>
      <c r="M428" s="2563"/>
      <c r="N428" s="2563"/>
      <c r="O428" s="2563"/>
      <c r="P428" s="2563"/>
      <c r="Q428" s="2563"/>
      <c r="R428" s="2563"/>
      <c r="S428" s="2563"/>
      <c r="T428" s="2563"/>
      <c r="U428" s="2563"/>
      <c r="V428" s="2563"/>
      <c r="W428" s="2563"/>
      <c r="X428" s="2563"/>
      <c r="Y428" s="2563"/>
      <c r="Z428" s="2563"/>
      <c r="AA428" s="2563"/>
      <c r="AB428" s="2563"/>
      <c r="AC428" s="2563"/>
      <c r="AD428" s="2563"/>
      <c r="AE428" s="256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34" t="s">
        <v>1468</v>
      </c>
      <c r="G430" s="2534"/>
      <c r="H430" s="2534"/>
      <c r="I430" s="2534"/>
      <c r="J430" s="2534"/>
      <c r="K430" s="2534"/>
      <c r="L430" s="2534"/>
      <c r="M430" s="2534"/>
      <c r="N430" s="2534"/>
      <c r="O430" s="2534"/>
      <c r="P430" s="2534"/>
      <c r="Q430" s="2534"/>
      <c r="R430" s="2534"/>
      <c r="S430" s="2534"/>
      <c r="T430" s="2534"/>
      <c r="U430" s="2534"/>
      <c r="V430" s="2534"/>
      <c r="W430" s="2534"/>
      <c r="X430" s="2534"/>
      <c r="Y430" s="2534"/>
      <c r="Z430" s="2534"/>
      <c r="AA430" s="2534"/>
      <c r="AB430" s="2534"/>
      <c r="AC430" s="2534"/>
      <c r="AD430" s="2534"/>
      <c r="AE430" s="2534"/>
      <c r="AF430" s="743"/>
      <c r="AG430" s="743"/>
      <c r="AH430" s="743"/>
      <c r="AI430" s="743"/>
      <c r="AJ430" s="743"/>
      <c r="AK430" s="743"/>
      <c r="AL430" s="744"/>
      <c r="AM430" s="568"/>
    </row>
    <row r="431" spans="1:81">
      <c r="A431" s="536"/>
      <c r="C431" s="727"/>
      <c r="E431" s="687"/>
      <c r="F431" s="2407"/>
      <c r="G431" s="2407"/>
      <c r="H431" s="2407"/>
      <c r="I431" s="2407"/>
      <c r="J431" s="2407"/>
      <c r="K431" s="2407"/>
      <c r="L431" s="2407"/>
      <c r="M431" s="2407"/>
      <c r="N431" s="2407"/>
      <c r="O431" s="2407"/>
      <c r="P431" s="2407"/>
      <c r="Q431" s="2407"/>
      <c r="R431" s="2407"/>
      <c r="S431" s="2407"/>
      <c r="T431" s="2407"/>
      <c r="U431" s="2407"/>
      <c r="V431" s="2407"/>
      <c r="W431" s="2407"/>
      <c r="X431" s="2407"/>
      <c r="Y431" s="2407"/>
      <c r="Z431" s="2407"/>
      <c r="AA431" s="2407"/>
      <c r="AB431" s="2407"/>
      <c r="AC431" s="2407"/>
      <c r="AD431" s="2407"/>
      <c r="AE431" s="2407"/>
      <c r="AF431" s="539"/>
      <c r="AG431" s="536"/>
      <c r="AH431" s="549"/>
      <c r="AI431" s="549"/>
      <c r="AJ431" s="549"/>
      <c r="AK431" s="549"/>
      <c r="AL431" s="728"/>
      <c r="AM431" s="568"/>
    </row>
    <row r="432" spans="1:81" s="549" customFormat="1" ht="12.75" customHeight="1">
      <c r="A432" s="536"/>
      <c r="B432" s="14"/>
      <c r="C432" s="727"/>
      <c r="D432" s="14"/>
      <c r="E432" s="687"/>
      <c r="F432" s="2407"/>
      <c r="G432" s="2407"/>
      <c r="H432" s="2407"/>
      <c r="I432" s="2407"/>
      <c r="J432" s="2407"/>
      <c r="K432" s="2407"/>
      <c r="L432" s="2407"/>
      <c r="M432" s="2407"/>
      <c r="N432" s="2407"/>
      <c r="O432" s="2407"/>
      <c r="P432" s="2407"/>
      <c r="Q432" s="2407"/>
      <c r="R432" s="2407"/>
      <c r="S432" s="2407"/>
      <c r="T432" s="2407"/>
      <c r="U432" s="2407"/>
      <c r="V432" s="2407"/>
      <c r="W432" s="2407"/>
      <c r="X432" s="2407"/>
      <c r="Y432" s="2407"/>
      <c r="Z432" s="2407"/>
      <c r="AA432" s="2407"/>
      <c r="AB432" s="2407"/>
      <c r="AC432" s="2407"/>
      <c r="AD432" s="2407"/>
      <c r="AE432" s="2407"/>
      <c r="AL432" s="728"/>
      <c r="AM432" s="568"/>
      <c r="AN432" s="595"/>
    </row>
    <row r="433" spans="1:60" s="549" customFormat="1" ht="12.75" customHeight="1">
      <c r="A433" s="536"/>
      <c r="B433" s="14"/>
      <c r="C433" s="735"/>
      <c r="F433" s="2407"/>
      <c r="G433" s="2407"/>
      <c r="H433" s="2407"/>
      <c r="I433" s="2407"/>
      <c r="J433" s="2407"/>
      <c r="K433" s="2407"/>
      <c r="L433" s="2407"/>
      <c r="M433" s="2407"/>
      <c r="N433" s="2407"/>
      <c r="O433" s="2407"/>
      <c r="P433" s="2407"/>
      <c r="Q433" s="2407"/>
      <c r="R433" s="2407"/>
      <c r="S433" s="2407"/>
      <c r="T433" s="2407"/>
      <c r="U433" s="2407"/>
      <c r="V433" s="2407"/>
      <c r="W433" s="2407"/>
      <c r="X433" s="2407"/>
      <c r="Y433" s="2407"/>
      <c r="Z433" s="2407"/>
      <c r="AA433" s="2407"/>
      <c r="AB433" s="2407"/>
      <c r="AC433" s="2407"/>
      <c r="AD433" s="2407"/>
      <c r="AE433" s="2407"/>
      <c r="AL433" s="728"/>
      <c r="AM433" s="568"/>
      <c r="AN433" s="595"/>
    </row>
    <row r="434" spans="1:60" s="549" customFormat="1" ht="12.75" customHeight="1">
      <c r="A434" s="536"/>
      <c r="B434" s="14"/>
      <c r="C434" s="2531" t="s">
        <v>591</v>
      </c>
      <c r="D434" s="2491"/>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69" t="s">
        <v>1452</v>
      </c>
      <c r="AG434" s="2469"/>
      <c r="AH434" s="2469"/>
      <c r="AI434" s="2469"/>
      <c r="AJ434" s="2469"/>
      <c r="AK434" s="2469"/>
      <c r="AL434" s="2535"/>
      <c r="AM434" s="568"/>
      <c r="AN434" s="595"/>
    </row>
    <row r="435" spans="1:60" s="549" customFormat="1" ht="12.75" customHeight="1">
      <c r="A435" s="536"/>
      <c r="B435" s="14"/>
      <c r="C435" s="735"/>
      <c r="AL435" s="728"/>
      <c r="AM435" s="568"/>
      <c r="AN435" s="595"/>
    </row>
    <row r="436" spans="1:60" s="549" customFormat="1" ht="12.75" customHeight="1">
      <c r="A436" s="536"/>
      <c r="B436" s="14"/>
      <c r="C436" s="2531" t="s">
        <v>591</v>
      </c>
      <c r="D436" s="2491"/>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69" t="s">
        <v>1464</v>
      </c>
      <c r="AG436" s="2469"/>
      <c r="AH436" s="2469"/>
      <c r="AI436" s="2469"/>
      <c r="AJ436" s="2469"/>
      <c r="AK436" s="2469"/>
      <c r="AL436" s="2535"/>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34" t="s">
        <v>1472</v>
      </c>
      <c r="G440" s="2534"/>
      <c r="H440" s="2534"/>
      <c r="I440" s="2534"/>
      <c r="J440" s="2534"/>
      <c r="K440" s="2534"/>
      <c r="L440" s="2534"/>
      <c r="M440" s="2534"/>
      <c r="N440" s="2534"/>
      <c r="O440" s="2534"/>
      <c r="P440" s="2534"/>
      <c r="Q440" s="2534"/>
      <c r="R440" s="2534"/>
      <c r="S440" s="2534"/>
      <c r="T440" s="2534"/>
      <c r="U440" s="2534"/>
      <c r="V440" s="2534"/>
      <c r="W440" s="2534"/>
      <c r="X440" s="2534"/>
      <c r="Y440" s="2534"/>
      <c r="Z440" s="2534"/>
      <c r="AA440" s="2534"/>
      <c r="AB440" s="2534"/>
      <c r="AC440" s="2534"/>
      <c r="AD440" s="2534"/>
      <c r="AE440" s="2534"/>
      <c r="AF440" s="710"/>
      <c r="AG440" s="710"/>
      <c r="AH440" s="710"/>
      <c r="AI440" s="710"/>
      <c r="AJ440" s="710"/>
      <c r="AK440" s="710"/>
      <c r="AL440" s="741"/>
      <c r="AM440" s="568"/>
      <c r="AN440" s="595"/>
    </row>
    <row r="441" spans="1:60" s="549" customFormat="1" ht="12.75" customHeight="1">
      <c r="A441" s="536"/>
      <c r="B441" s="14"/>
      <c r="C441" s="727"/>
      <c r="D441" s="14"/>
      <c r="E441" s="687"/>
      <c r="F441" s="2407"/>
      <c r="G441" s="2407"/>
      <c r="H441" s="2407"/>
      <c r="I441" s="2407"/>
      <c r="J441" s="2407"/>
      <c r="K441" s="2407"/>
      <c r="L441" s="2407"/>
      <c r="M441" s="2407"/>
      <c r="N441" s="2407"/>
      <c r="O441" s="2407"/>
      <c r="P441" s="2407"/>
      <c r="Q441" s="2407"/>
      <c r="R441" s="2407"/>
      <c r="S441" s="2407"/>
      <c r="T441" s="2407"/>
      <c r="U441" s="2407"/>
      <c r="V441" s="2407"/>
      <c r="W441" s="2407"/>
      <c r="X441" s="2407"/>
      <c r="Y441" s="2407"/>
      <c r="Z441" s="2407"/>
      <c r="AA441" s="2407"/>
      <c r="AB441" s="2407"/>
      <c r="AC441" s="2407"/>
      <c r="AD441" s="2407"/>
      <c r="AE441" s="2407"/>
      <c r="AF441" s="539"/>
      <c r="AG441" s="536"/>
      <c r="AL441" s="728"/>
      <c r="AM441" s="568"/>
      <c r="AN441" s="595"/>
    </row>
    <row r="442" spans="1:60" s="549" customFormat="1" ht="12.45" customHeight="1">
      <c r="A442" s="536"/>
      <c r="B442" s="14"/>
      <c r="C442" s="727"/>
      <c r="D442" s="14"/>
      <c r="E442" s="687"/>
      <c r="F442" s="2407"/>
      <c r="G442" s="2407"/>
      <c r="H442" s="2407"/>
      <c r="I442" s="2407"/>
      <c r="J442" s="2407"/>
      <c r="K442" s="2407"/>
      <c r="L442" s="2407"/>
      <c r="M442" s="2407"/>
      <c r="N442" s="2407"/>
      <c r="O442" s="2407"/>
      <c r="P442" s="2407"/>
      <c r="Q442" s="2407"/>
      <c r="R442" s="2407"/>
      <c r="S442" s="2407"/>
      <c r="T442" s="2407"/>
      <c r="U442" s="2407"/>
      <c r="V442" s="2407"/>
      <c r="W442" s="2407"/>
      <c r="X442" s="2407"/>
      <c r="Y442" s="2407"/>
      <c r="Z442" s="2407"/>
      <c r="AA442" s="2407"/>
      <c r="AB442" s="2407"/>
      <c r="AC442" s="2407"/>
      <c r="AD442" s="2407"/>
      <c r="AE442" s="2407"/>
      <c r="AL442" s="728"/>
      <c r="AM442" s="568"/>
      <c r="AN442" s="595"/>
    </row>
    <row r="443" spans="1:60" s="549" customFormat="1" ht="12.75" customHeight="1">
      <c r="A443" s="536"/>
      <c r="B443" s="14"/>
      <c r="C443" s="2531" t="s">
        <v>545</v>
      </c>
      <c r="D443" s="2491"/>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69" t="s">
        <v>1452</v>
      </c>
      <c r="AG443" s="2469"/>
      <c r="AH443" s="2469"/>
      <c r="AI443" s="2469"/>
      <c r="AJ443" s="2469"/>
      <c r="AK443" s="2469"/>
      <c r="AL443" s="2535"/>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534" t="s">
        <v>1475</v>
      </c>
      <c r="G446" s="2534"/>
      <c r="H446" s="2534"/>
      <c r="I446" s="2534"/>
      <c r="J446" s="2534"/>
      <c r="K446" s="2534"/>
      <c r="L446" s="2534"/>
      <c r="M446" s="2534"/>
      <c r="N446" s="2534"/>
      <c r="O446" s="2534"/>
      <c r="P446" s="2534"/>
      <c r="Q446" s="2534"/>
      <c r="R446" s="2534"/>
      <c r="S446" s="2534"/>
      <c r="T446" s="2534"/>
      <c r="U446" s="2534"/>
      <c r="V446" s="2534"/>
      <c r="W446" s="2534"/>
      <c r="X446" s="2534"/>
      <c r="Y446" s="2534"/>
      <c r="Z446" s="2534"/>
      <c r="AA446" s="2534"/>
      <c r="AB446" s="2534"/>
      <c r="AC446" s="2534"/>
      <c r="AD446" s="2534"/>
      <c r="AE446" s="2534"/>
      <c r="AF446" s="743"/>
      <c r="AG446" s="743"/>
      <c r="AH446" s="743"/>
      <c r="AI446" s="743"/>
      <c r="AJ446" s="743"/>
      <c r="AK446" s="743"/>
      <c r="AL446" s="744"/>
      <c r="AM446" s="568"/>
      <c r="AO446" s="549"/>
      <c r="AP446" s="549"/>
      <c r="BD446" s="14"/>
      <c r="BE446" s="14"/>
      <c r="BF446" s="14"/>
      <c r="BG446" s="14"/>
      <c r="BH446" s="14"/>
    </row>
    <row r="447" spans="1:60">
      <c r="A447" s="536"/>
      <c r="C447" s="727"/>
      <c r="E447" s="687"/>
      <c r="F447" s="2407"/>
      <c r="G447" s="2407"/>
      <c r="H447" s="2407"/>
      <c r="I447" s="2407"/>
      <c r="J447" s="2407"/>
      <c r="K447" s="2407"/>
      <c r="L447" s="2407"/>
      <c r="M447" s="2407"/>
      <c r="N447" s="2407"/>
      <c r="O447" s="2407"/>
      <c r="P447" s="2407"/>
      <c r="Q447" s="2407"/>
      <c r="R447" s="2407"/>
      <c r="S447" s="2407"/>
      <c r="T447" s="2407"/>
      <c r="U447" s="2407"/>
      <c r="V447" s="2407"/>
      <c r="W447" s="2407"/>
      <c r="X447" s="2407"/>
      <c r="Y447" s="2407"/>
      <c r="Z447" s="2407"/>
      <c r="AA447" s="2407"/>
      <c r="AB447" s="2407"/>
      <c r="AC447" s="2407"/>
      <c r="AD447" s="2407"/>
      <c r="AE447" s="2407"/>
      <c r="AF447" s="592"/>
      <c r="AG447" s="592"/>
      <c r="AH447" s="592"/>
      <c r="AI447" s="592"/>
      <c r="AJ447" s="592"/>
      <c r="AK447" s="592"/>
      <c r="AL447" s="746"/>
      <c r="AM447" s="568"/>
      <c r="AO447" s="549"/>
      <c r="AP447" s="549"/>
    </row>
    <row r="448" spans="1:60" s="549" customFormat="1" ht="12.75" customHeight="1">
      <c r="A448" s="536"/>
      <c r="B448" s="14"/>
      <c r="C448" s="727"/>
      <c r="D448" s="14"/>
      <c r="E448" s="687"/>
      <c r="F448" s="2407"/>
      <c r="G448" s="2407"/>
      <c r="H448" s="2407"/>
      <c r="I448" s="2407"/>
      <c r="J448" s="2407"/>
      <c r="K448" s="2407"/>
      <c r="L448" s="2407"/>
      <c r="M448" s="2407"/>
      <c r="N448" s="2407"/>
      <c r="O448" s="2407"/>
      <c r="P448" s="2407"/>
      <c r="Q448" s="2407"/>
      <c r="R448" s="2407"/>
      <c r="S448" s="2407"/>
      <c r="T448" s="2407"/>
      <c r="U448" s="2407"/>
      <c r="V448" s="2407"/>
      <c r="W448" s="2407"/>
      <c r="X448" s="2407"/>
      <c r="Y448" s="2407"/>
      <c r="Z448" s="2407"/>
      <c r="AA448" s="2407"/>
      <c r="AB448" s="2407"/>
      <c r="AC448" s="2407"/>
      <c r="AD448" s="2407"/>
      <c r="AE448" s="2407"/>
      <c r="AF448" s="592"/>
      <c r="AG448" s="592"/>
      <c r="AH448" s="592"/>
      <c r="AI448" s="592"/>
      <c r="AJ448" s="592"/>
      <c r="AK448" s="592"/>
      <c r="AL448" s="746"/>
      <c r="AM448" s="568"/>
      <c r="AN448" s="595"/>
    </row>
    <row r="449" spans="1:42" s="549" customFormat="1" ht="12.75" customHeight="1">
      <c r="A449" s="536"/>
      <c r="B449" s="14"/>
      <c r="C449" s="747"/>
      <c r="D449" s="726"/>
      <c r="E449" s="715"/>
      <c r="F449" s="2407"/>
      <c r="G449" s="2407"/>
      <c r="H449" s="2407"/>
      <c r="I449" s="2407"/>
      <c r="J449" s="2407"/>
      <c r="K449" s="2407"/>
      <c r="L449" s="2407"/>
      <c r="M449" s="2407"/>
      <c r="N449" s="2407"/>
      <c r="O449" s="2407"/>
      <c r="P449" s="2407"/>
      <c r="Q449" s="2407"/>
      <c r="R449" s="2407"/>
      <c r="S449" s="2407"/>
      <c r="T449" s="2407"/>
      <c r="U449" s="2407"/>
      <c r="V449" s="2407"/>
      <c r="W449" s="2407"/>
      <c r="X449" s="2407"/>
      <c r="Y449" s="2407"/>
      <c r="Z449" s="2407"/>
      <c r="AA449" s="2407"/>
      <c r="AB449" s="2407"/>
      <c r="AC449" s="2407"/>
      <c r="AD449" s="2407"/>
      <c r="AE449" s="240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07"/>
      <c r="G450" s="2407"/>
      <c r="H450" s="2407"/>
      <c r="I450" s="2407"/>
      <c r="J450" s="2407"/>
      <c r="K450" s="2407"/>
      <c r="L450" s="2407"/>
      <c r="M450" s="2407"/>
      <c r="N450" s="2407"/>
      <c r="O450" s="2407"/>
      <c r="P450" s="2407"/>
      <c r="Q450" s="2407"/>
      <c r="R450" s="2407"/>
      <c r="S450" s="2407"/>
      <c r="T450" s="2407"/>
      <c r="U450" s="2407"/>
      <c r="V450" s="2407"/>
      <c r="W450" s="2407"/>
      <c r="X450" s="2407"/>
      <c r="Y450" s="2407"/>
      <c r="Z450" s="2407"/>
      <c r="AA450" s="2407"/>
      <c r="AB450" s="2407"/>
      <c r="AC450" s="2407"/>
      <c r="AD450" s="2407"/>
      <c r="AE450" s="2407"/>
      <c r="AF450" s="592"/>
      <c r="AG450" s="592"/>
      <c r="AH450" s="592"/>
      <c r="AI450" s="592"/>
      <c r="AJ450" s="592"/>
      <c r="AK450" s="592"/>
      <c r="AL450" s="746"/>
      <c r="AM450" s="568"/>
      <c r="AN450" s="595"/>
    </row>
    <row r="451" spans="1:42" s="549" customFormat="1" ht="12.75" customHeight="1">
      <c r="A451" s="536"/>
      <c r="B451" s="14"/>
      <c r="C451" s="747"/>
      <c r="D451" s="726"/>
      <c r="E451" s="715"/>
      <c r="F451" s="2407"/>
      <c r="G451" s="2407"/>
      <c r="H451" s="2407"/>
      <c r="I451" s="2407"/>
      <c r="J451" s="2407"/>
      <c r="K451" s="2407"/>
      <c r="L451" s="2407"/>
      <c r="M451" s="2407"/>
      <c r="N451" s="2407"/>
      <c r="O451" s="2407"/>
      <c r="P451" s="2407"/>
      <c r="Q451" s="2407"/>
      <c r="R451" s="2407"/>
      <c r="S451" s="2407"/>
      <c r="T451" s="2407"/>
      <c r="U451" s="2407"/>
      <c r="V451" s="2407"/>
      <c r="W451" s="2407"/>
      <c r="X451" s="2407"/>
      <c r="Y451" s="2407"/>
      <c r="Z451" s="2407"/>
      <c r="AA451" s="2407"/>
      <c r="AB451" s="2407"/>
      <c r="AC451" s="2407"/>
      <c r="AD451" s="2407"/>
      <c r="AE451" s="2407"/>
      <c r="AF451" s="592"/>
      <c r="AG451" s="592"/>
      <c r="AH451" s="592"/>
      <c r="AI451" s="592"/>
      <c r="AJ451" s="592"/>
      <c r="AK451" s="592"/>
      <c r="AL451" s="746"/>
      <c r="AM451" s="568"/>
      <c r="AN451" s="595"/>
    </row>
    <row r="452" spans="1:42" s="549" customFormat="1" ht="12.75" customHeight="1">
      <c r="A452" s="536"/>
      <c r="B452" s="14"/>
      <c r="C452" s="747"/>
      <c r="D452" s="726"/>
      <c r="E452" s="715"/>
      <c r="F452" s="2407"/>
      <c r="G452" s="2407"/>
      <c r="H452" s="2407"/>
      <c r="I452" s="2407"/>
      <c r="J452" s="2407"/>
      <c r="K452" s="2407"/>
      <c r="L452" s="2407"/>
      <c r="M452" s="2407"/>
      <c r="N452" s="2407"/>
      <c r="O452" s="2407"/>
      <c r="P452" s="2407"/>
      <c r="Q452" s="2407"/>
      <c r="R452" s="2407"/>
      <c r="S452" s="2407"/>
      <c r="T452" s="2407"/>
      <c r="U452" s="2407"/>
      <c r="V452" s="2407"/>
      <c r="W452" s="2407"/>
      <c r="X452" s="2407"/>
      <c r="Y452" s="2407"/>
      <c r="Z452" s="2407"/>
      <c r="AA452" s="2407"/>
      <c r="AB452" s="2407"/>
      <c r="AC452" s="2407"/>
      <c r="AD452" s="2407"/>
      <c r="AE452" s="2407"/>
      <c r="AF452" s="592"/>
      <c r="AG452" s="592"/>
      <c r="AH452" s="592"/>
      <c r="AI452" s="592"/>
      <c r="AJ452" s="592"/>
      <c r="AK452" s="592"/>
      <c r="AL452" s="746"/>
      <c r="AM452" s="568"/>
      <c r="AN452" s="595"/>
    </row>
    <row r="453" spans="1:42" s="549" customFormat="1" ht="12.75" customHeight="1">
      <c r="A453" s="536"/>
      <c r="B453" s="14"/>
      <c r="C453" s="747"/>
      <c r="D453" s="726"/>
      <c r="E453" s="715"/>
      <c r="F453" s="2407"/>
      <c r="G453" s="2407"/>
      <c r="H453" s="2407"/>
      <c r="I453" s="2407"/>
      <c r="J453" s="2407"/>
      <c r="K453" s="2407"/>
      <c r="L453" s="2407"/>
      <c r="M453" s="2407"/>
      <c r="N453" s="2407"/>
      <c r="O453" s="2407"/>
      <c r="P453" s="2407"/>
      <c r="Q453" s="2407"/>
      <c r="R453" s="2407"/>
      <c r="S453" s="2407"/>
      <c r="T453" s="2407"/>
      <c r="U453" s="2407"/>
      <c r="V453" s="2407"/>
      <c r="W453" s="2407"/>
      <c r="X453" s="2407"/>
      <c r="Y453" s="2407"/>
      <c r="Z453" s="2407"/>
      <c r="AA453" s="2407"/>
      <c r="AB453" s="2407"/>
      <c r="AC453" s="2407"/>
      <c r="AD453" s="2407"/>
      <c r="AE453" s="2407"/>
      <c r="AF453" s="592"/>
      <c r="AG453" s="592"/>
      <c r="AH453" s="592"/>
      <c r="AI453" s="592"/>
      <c r="AJ453" s="592"/>
      <c r="AK453" s="592"/>
      <c r="AL453" s="746"/>
      <c r="AM453" s="568"/>
      <c r="AN453" s="595"/>
    </row>
    <row r="454" spans="1:42" s="549" customFormat="1" ht="17.25" customHeight="1">
      <c r="A454" s="536"/>
      <c r="B454" s="14"/>
      <c r="C454" s="747"/>
      <c r="D454" s="726"/>
      <c r="E454" s="715"/>
      <c r="F454" s="2407"/>
      <c r="G454" s="2407"/>
      <c r="H454" s="2407"/>
      <c r="I454" s="2407"/>
      <c r="J454" s="2407"/>
      <c r="K454" s="2407"/>
      <c r="L454" s="2407"/>
      <c r="M454" s="2407"/>
      <c r="N454" s="2407"/>
      <c r="O454" s="2407"/>
      <c r="P454" s="2407"/>
      <c r="Q454" s="2407"/>
      <c r="R454" s="2407"/>
      <c r="S454" s="2407"/>
      <c r="T454" s="2407"/>
      <c r="U454" s="2407"/>
      <c r="V454" s="2407"/>
      <c r="W454" s="2407"/>
      <c r="X454" s="2407"/>
      <c r="Y454" s="2407"/>
      <c r="Z454" s="2407"/>
      <c r="AA454" s="2407"/>
      <c r="AB454" s="2407"/>
      <c r="AC454" s="2407"/>
      <c r="AD454" s="2407"/>
      <c r="AE454" s="2407"/>
      <c r="AL454" s="728"/>
      <c r="AM454" s="568"/>
      <c r="AN454" s="595"/>
    </row>
    <row r="455" spans="1:42" s="549" customFormat="1" ht="12.75" customHeight="1">
      <c r="A455" s="536"/>
      <c r="B455" s="14"/>
      <c r="C455" s="2531" t="s">
        <v>545</v>
      </c>
      <c r="D455" s="2491"/>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69" t="s">
        <v>1452</v>
      </c>
      <c r="AG455" s="2469"/>
      <c r="AH455" s="2469"/>
      <c r="AI455" s="2469"/>
      <c r="AJ455" s="2469"/>
      <c r="AK455" s="2469"/>
      <c r="AL455" s="2535"/>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34" t="s">
        <v>1478</v>
      </c>
      <c r="G458" s="2534"/>
      <c r="H458" s="2534"/>
      <c r="I458" s="2534"/>
      <c r="J458" s="2534"/>
      <c r="K458" s="2534"/>
      <c r="L458" s="2534"/>
      <c r="M458" s="2534"/>
      <c r="N458" s="2534"/>
      <c r="O458" s="2534"/>
      <c r="P458" s="2534"/>
      <c r="Q458" s="2534"/>
      <c r="R458" s="2534"/>
      <c r="S458" s="2534"/>
      <c r="T458" s="2534"/>
      <c r="U458" s="2534"/>
      <c r="V458" s="2534"/>
      <c r="W458" s="2534"/>
      <c r="X458" s="2534"/>
      <c r="Y458" s="2534"/>
      <c r="Z458" s="2534"/>
      <c r="AA458" s="2534"/>
      <c r="AB458" s="2534"/>
      <c r="AC458" s="2534"/>
      <c r="AD458" s="2534"/>
      <c r="AE458" s="2534"/>
      <c r="AF458" s="710"/>
      <c r="AG458" s="710"/>
      <c r="AH458" s="710"/>
      <c r="AI458" s="710"/>
      <c r="AJ458" s="710"/>
      <c r="AK458" s="710"/>
      <c r="AL458" s="741"/>
      <c r="AM458" s="568"/>
      <c r="AN458" s="595"/>
    </row>
    <row r="459" spans="1:42" s="549" customFormat="1" ht="12.75" customHeight="1">
      <c r="A459" s="536"/>
      <c r="B459" s="14"/>
      <c r="C459" s="747"/>
      <c r="D459" s="726"/>
      <c r="E459" s="715"/>
      <c r="F459" s="2407"/>
      <c r="G459" s="2407"/>
      <c r="H459" s="2407"/>
      <c r="I459" s="2407"/>
      <c r="J459" s="2407"/>
      <c r="K459" s="2407"/>
      <c r="L459" s="2407"/>
      <c r="M459" s="2407"/>
      <c r="N459" s="2407"/>
      <c r="O459" s="2407"/>
      <c r="P459" s="2407"/>
      <c r="Q459" s="2407"/>
      <c r="R459" s="2407"/>
      <c r="S459" s="2407"/>
      <c r="T459" s="2407"/>
      <c r="U459" s="2407"/>
      <c r="V459" s="2407"/>
      <c r="W459" s="2407"/>
      <c r="X459" s="2407"/>
      <c r="Y459" s="2407"/>
      <c r="Z459" s="2407"/>
      <c r="AA459" s="2407"/>
      <c r="AB459" s="2407"/>
      <c r="AC459" s="2407"/>
      <c r="AD459" s="2407"/>
      <c r="AE459" s="2407"/>
      <c r="AF459" s="589"/>
      <c r="AG459" s="589"/>
      <c r="AH459" s="589"/>
      <c r="AI459" s="589"/>
      <c r="AJ459" s="589"/>
      <c r="AK459" s="589"/>
      <c r="AL459" s="716"/>
      <c r="AM459" s="568"/>
      <c r="AN459" s="595"/>
    </row>
    <row r="460" spans="1:42" s="549" customFormat="1" ht="12.75" customHeight="1">
      <c r="A460" s="536"/>
      <c r="B460" s="14"/>
      <c r="C460" s="747"/>
      <c r="D460" s="726"/>
      <c r="E460" s="715"/>
      <c r="F460" s="2407"/>
      <c r="G460" s="2407"/>
      <c r="H460" s="2407"/>
      <c r="I460" s="2407"/>
      <c r="J460" s="2407"/>
      <c r="K460" s="2407"/>
      <c r="L460" s="2407"/>
      <c r="M460" s="2407"/>
      <c r="N460" s="2407"/>
      <c r="O460" s="2407"/>
      <c r="P460" s="2407"/>
      <c r="Q460" s="2407"/>
      <c r="R460" s="2407"/>
      <c r="S460" s="2407"/>
      <c r="T460" s="2407"/>
      <c r="U460" s="2407"/>
      <c r="V460" s="2407"/>
      <c r="W460" s="2407"/>
      <c r="X460" s="2407"/>
      <c r="Y460" s="2407"/>
      <c r="Z460" s="2407"/>
      <c r="AA460" s="2407"/>
      <c r="AB460" s="2407"/>
      <c r="AC460" s="2407"/>
      <c r="AD460" s="2407"/>
      <c r="AE460" s="2407"/>
      <c r="AF460" s="589"/>
      <c r="AG460" s="589"/>
      <c r="AH460" s="589"/>
      <c r="AI460" s="589"/>
      <c r="AJ460" s="589"/>
      <c r="AK460" s="589"/>
      <c r="AL460" s="716"/>
      <c r="AM460" s="568"/>
      <c r="AN460" s="595"/>
    </row>
    <row r="461" spans="1:42" s="549" customFormat="1" ht="12.75" customHeight="1">
      <c r="A461" s="536"/>
      <c r="B461" s="14"/>
      <c r="C461" s="747"/>
      <c r="D461" s="726"/>
      <c r="E461" s="715"/>
      <c r="F461" s="2407"/>
      <c r="G461" s="2407"/>
      <c r="H461" s="2407"/>
      <c r="I461" s="2407"/>
      <c r="J461" s="2407"/>
      <c r="K461" s="2407"/>
      <c r="L461" s="2407"/>
      <c r="M461" s="2407"/>
      <c r="N461" s="2407"/>
      <c r="O461" s="2407"/>
      <c r="P461" s="2407"/>
      <c r="Q461" s="2407"/>
      <c r="R461" s="2407"/>
      <c r="S461" s="2407"/>
      <c r="T461" s="2407"/>
      <c r="U461" s="2407"/>
      <c r="V461" s="2407"/>
      <c r="W461" s="2407"/>
      <c r="X461" s="2407"/>
      <c r="Y461" s="2407"/>
      <c r="Z461" s="2407"/>
      <c r="AA461" s="2407"/>
      <c r="AB461" s="2407"/>
      <c r="AC461" s="2407"/>
      <c r="AD461" s="2407"/>
      <c r="AE461" s="2407"/>
      <c r="AL461" s="728"/>
      <c r="AM461" s="568"/>
      <c r="AN461" s="595"/>
    </row>
    <row r="462" spans="1:42" s="549" customFormat="1" ht="12.75" customHeight="1">
      <c r="A462" s="536"/>
      <c r="B462" s="14"/>
      <c r="C462" s="2531" t="s">
        <v>591</v>
      </c>
      <c r="D462" s="2491"/>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69" t="s">
        <v>1452</v>
      </c>
      <c r="AG462" s="2469"/>
      <c r="AH462" s="2469"/>
      <c r="AI462" s="2469"/>
      <c r="AJ462" s="2469"/>
      <c r="AK462" s="2469"/>
      <c r="AL462" s="2535"/>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36" t="s">
        <v>591</v>
      </c>
      <c r="D466" s="2537"/>
      <c r="E466" s="711" t="s">
        <v>1487</v>
      </c>
      <c r="F466" s="2534" t="s">
        <v>1488</v>
      </c>
      <c r="G466" s="2534"/>
      <c r="H466" s="2534"/>
      <c r="I466" s="2534"/>
      <c r="J466" s="2534"/>
      <c r="K466" s="2534"/>
      <c r="L466" s="2534"/>
      <c r="M466" s="2534"/>
      <c r="N466" s="2534"/>
      <c r="O466" s="2534"/>
      <c r="P466" s="2534"/>
      <c r="Q466" s="2534"/>
      <c r="R466" s="2534"/>
      <c r="S466" s="2534"/>
      <c r="T466" s="2534"/>
      <c r="U466" s="2534"/>
      <c r="V466" s="2534"/>
      <c r="W466" s="2534"/>
      <c r="X466" s="2534"/>
      <c r="Y466" s="2534"/>
      <c r="Z466" s="2534"/>
      <c r="AA466" s="2534"/>
      <c r="AB466" s="2534"/>
      <c r="AC466" s="2534"/>
      <c r="AD466" s="2534"/>
      <c r="AE466" s="2534"/>
      <c r="AF466" s="2619" t="s">
        <v>1452</v>
      </c>
      <c r="AG466" s="2619"/>
      <c r="AH466" s="2619"/>
      <c r="AI466" s="2619"/>
      <c r="AJ466" s="2619"/>
      <c r="AK466" s="2619"/>
      <c r="AL466" s="2620"/>
      <c r="AM466" s="568"/>
      <c r="AN466" s="749"/>
    </row>
    <row r="467" spans="1:40" s="549" customFormat="1" ht="12.75" customHeight="1">
      <c r="A467" s="536"/>
      <c r="B467" s="14"/>
      <c r="C467" s="747"/>
      <c r="D467" s="726"/>
      <c r="E467" s="715"/>
      <c r="F467" s="2407"/>
      <c r="G467" s="2407"/>
      <c r="H467" s="2407"/>
      <c r="I467" s="2407"/>
      <c r="J467" s="2407"/>
      <c r="K467" s="2407"/>
      <c r="L467" s="2407"/>
      <c r="M467" s="2407"/>
      <c r="N467" s="2407"/>
      <c r="O467" s="2407"/>
      <c r="P467" s="2407"/>
      <c r="Q467" s="2407"/>
      <c r="R467" s="2407"/>
      <c r="S467" s="2407"/>
      <c r="T467" s="2407"/>
      <c r="U467" s="2407"/>
      <c r="V467" s="2407"/>
      <c r="W467" s="2407"/>
      <c r="X467" s="2407"/>
      <c r="Y467" s="2407"/>
      <c r="Z467" s="2407"/>
      <c r="AA467" s="2407"/>
      <c r="AB467" s="2407"/>
      <c r="AC467" s="2407"/>
      <c r="AD467" s="2407"/>
      <c r="AE467" s="2407"/>
      <c r="AF467" s="589"/>
      <c r="AG467" s="589"/>
      <c r="AH467" s="589"/>
      <c r="AI467" s="589"/>
      <c r="AJ467" s="589"/>
      <c r="AK467" s="589"/>
      <c r="AL467" s="716"/>
      <c r="AM467" s="568"/>
      <c r="AN467" s="750"/>
    </row>
    <row r="468" spans="1:40" s="549" customFormat="1" ht="17.7" customHeight="1">
      <c r="A468" s="536"/>
      <c r="B468" s="14"/>
      <c r="C468" s="752"/>
      <c r="D468" s="719"/>
      <c r="E468" s="720"/>
      <c r="F468" s="2563"/>
      <c r="G468" s="2563"/>
      <c r="H468" s="2563"/>
      <c r="I468" s="2563"/>
      <c r="J468" s="2563"/>
      <c r="K468" s="2563"/>
      <c r="L468" s="2563"/>
      <c r="M468" s="2563"/>
      <c r="N468" s="2563"/>
      <c r="O468" s="2563"/>
      <c r="P468" s="2563"/>
      <c r="Q468" s="2563"/>
      <c r="R468" s="2563"/>
      <c r="S468" s="2563"/>
      <c r="T468" s="2563"/>
      <c r="U468" s="2563"/>
      <c r="V468" s="2563"/>
      <c r="W468" s="2563"/>
      <c r="X468" s="2563"/>
      <c r="Y468" s="2563"/>
      <c r="Z468" s="2563"/>
      <c r="AA468" s="2563"/>
      <c r="AB468" s="2563"/>
      <c r="AC468" s="2563"/>
      <c r="AD468" s="2563"/>
      <c r="AE468" s="256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31" t="s">
        <v>591</v>
      </c>
      <c r="D470" s="2491"/>
      <c r="E470" s="711" t="s">
        <v>1493</v>
      </c>
      <c r="F470" s="2534" t="s">
        <v>1494</v>
      </c>
      <c r="G470" s="2534"/>
      <c r="H470" s="2534"/>
      <c r="I470" s="2534"/>
      <c r="J470" s="2534"/>
      <c r="K470" s="2534"/>
      <c r="L470" s="2534"/>
      <c r="M470" s="2534"/>
      <c r="N470" s="2534"/>
      <c r="O470" s="2534"/>
      <c r="P470" s="2534"/>
      <c r="Q470" s="2534"/>
      <c r="R470" s="2534"/>
      <c r="S470" s="2534"/>
      <c r="T470" s="2534"/>
      <c r="U470" s="2534"/>
      <c r="V470" s="2534"/>
      <c r="W470" s="2534"/>
      <c r="X470" s="2534"/>
      <c r="Y470" s="2534"/>
      <c r="Z470" s="2534"/>
      <c r="AA470" s="2534"/>
      <c r="AB470" s="2534"/>
      <c r="AC470" s="2534"/>
      <c r="AD470" s="2534"/>
      <c r="AE470" s="2534"/>
      <c r="AF470" s="2619" t="s">
        <v>1452</v>
      </c>
      <c r="AG470" s="2619"/>
      <c r="AH470" s="2619"/>
      <c r="AI470" s="2619"/>
      <c r="AJ470" s="2619"/>
      <c r="AK470" s="2619"/>
      <c r="AL470" s="2620"/>
      <c r="AM470" s="568"/>
      <c r="AN470" s="535"/>
    </row>
    <row r="471" spans="1:40" s="549" customFormat="1" ht="12.75" customHeight="1">
      <c r="A471" s="536"/>
      <c r="B471" s="14"/>
      <c r="C471" s="727"/>
      <c r="D471" s="14"/>
      <c r="E471" s="687"/>
      <c r="F471" s="2407"/>
      <c r="G471" s="2407"/>
      <c r="H471" s="2407"/>
      <c r="I471" s="2407"/>
      <c r="J471" s="2407"/>
      <c r="K471" s="2407"/>
      <c r="L471" s="2407"/>
      <c r="M471" s="2407"/>
      <c r="N471" s="2407"/>
      <c r="O471" s="2407"/>
      <c r="P471" s="2407"/>
      <c r="Q471" s="2407"/>
      <c r="R471" s="2407"/>
      <c r="S471" s="2407"/>
      <c r="T471" s="2407"/>
      <c r="U471" s="2407"/>
      <c r="V471" s="2407"/>
      <c r="W471" s="2407"/>
      <c r="X471" s="2407"/>
      <c r="Y471" s="2407"/>
      <c r="Z471" s="2407"/>
      <c r="AA471" s="2407"/>
      <c r="AB471" s="2407"/>
      <c r="AC471" s="2407"/>
      <c r="AD471" s="2407"/>
      <c r="AE471" s="2407"/>
      <c r="AF471" s="539"/>
      <c r="AG471" s="536"/>
      <c r="AL471" s="728"/>
      <c r="AM471" s="568"/>
      <c r="AN471" s="535"/>
    </row>
    <row r="472" spans="1:40" s="549" customFormat="1" ht="12.75" customHeight="1">
      <c r="A472" s="536"/>
      <c r="B472" s="14"/>
      <c r="C472" s="727"/>
      <c r="D472" s="14"/>
      <c r="E472" s="687"/>
      <c r="F472" s="2407"/>
      <c r="G472" s="2407"/>
      <c r="H472" s="2407"/>
      <c r="I472" s="2407"/>
      <c r="J472" s="2407"/>
      <c r="K472" s="2407"/>
      <c r="L472" s="2407"/>
      <c r="M472" s="2407"/>
      <c r="N472" s="2407"/>
      <c r="O472" s="2407"/>
      <c r="P472" s="2407"/>
      <c r="Q472" s="2407"/>
      <c r="R472" s="2407"/>
      <c r="S472" s="2407"/>
      <c r="T472" s="2407"/>
      <c r="U472" s="2407"/>
      <c r="V472" s="2407"/>
      <c r="W472" s="2407"/>
      <c r="X472" s="2407"/>
      <c r="Y472" s="2407"/>
      <c r="Z472" s="2407"/>
      <c r="AA472" s="2407"/>
      <c r="AB472" s="2407"/>
      <c r="AC472" s="2407"/>
      <c r="AD472" s="2407"/>
      <c r="AE472" s="2407"/>
      <c r="AF472" s="539"/>
      <c r="AG472" s="536"/>
      <c r="AL472" s="728"/>
      <c r="AM472" s="568"/>
      <c r="AN472" s="535"/>
    </row>
    <row r="473" spans="1:40" s="549" customFormat="1" ht="12.75" customHeight="1">
      <c r="A473" s="536"/>
      <c r="B473" s="14"/>
      <c r="C473" s="752"/>
      <c r="D473" s="719"/>
      <c r="E473" s="720"/>
      <c r="F473" s="2563"/>
      <c r="G473" s="2563"/>
      <c r="H473" s="2563"/>
      <c r="I473" s="2563"/>
      <c r="J473" s="2563"/>
      <c r="K473" s="2563"/>
      <c r="L473" s="2563"/>
      <c r="M473" s="2563"/>
      <c r="N473" s="2563"/>
      <c r="O473" s="2563"/>
      <c r="P473" s="2563"/>
      <c r="Q473" s="2563"/>
      <c r="R473" s="2563"/>
      <c r="S473" s="2563"/>
      <c r="T473" s="2563"/>
      <c r="U473" s="2563"/>
      <c r="V473" s="2563"/>
      <c r="W473" s="2563"/>
      <c r="X473" s="2563"/>
      <c r="Y473" s="2563"/>
      <c r="Z473" s="2563"/>
      <c r="AA473" s="2563"/>
      <c r="AB473" s="2563"/>
      <c r="AC473" s="2563"/>
      <c r="AD473" s="2563"/>
      <c r="AE473" s="256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34" t="s">
        <v>1497</v>
      </c>
      <c r="G475" s="2534"/>
      <c r="H475" s="2534"/>
      <c r="I475" s="2534"/>
      <c r="J475" s="2534"/>
      <c r="K475" s="2534"/>
      <c r="L475" s="2534"/>
      <c r="M475" s="2534"/>
      <c r="N475" s="2534"/>
      <c r="O475" s="2534"/>
      <c r="P475" s="2534"/>
      <c r="Q475" s="2534"/>
      <c r="R475" s="2534"/>
      <c r="S475" s="2534"/>
      <c r="T475" s="2534"/>
      <c r="U475" s="2534"/>
      <c r="V475" s="2534"/>
      <c r="W475" s="2534"/>
      <c r="X475" s="2534"/>
      <c r="Y475" s="2534"/>
      <c r="Z475" s="2534"/>
      <c r="AA475" s="2534"/>
      <c r="AB475" s="2534"/>
      <c r="AC475" s="2534"/>
      <c r="AD475" s="2534"/>
      <c r="AE475" s="2534"/>
      <c r="AF475" s="2534"/>
      <c r="AG475" s="740"/>
      <c r="AH475" s="710"/>
      <c r="AI475" s="710"/>
      <c r="AJ475" s="710"/>
      <c r="AK475" s="710"/>
      <c r="AL475" s="741"/>
      <c r="AM475" s="568"/>
      <c r="AN475" s="595"/>
    </row>
    <row r="476" spans="1:40" s="549" customFormat="1" ht="12.75" customHeight="1">
      <c r="A476" s="536"/>
      <c r="B476" s="14"/>
      <c r="C476" s="727"/>
      <c r="D476" s="14"/>
      <c r="E476" s="687"/>
      <c r="F476" s="2407"/>
      <c r="G476" s="2407"/>
      <c r="H476" s="2407"/>
      <c r="I476" s="2407"/>
      <c r="J476" s="2407"/>
      <c r="K476" s="2407"/>
      <c r="L476" s="2407"/>
      <c r="M476" s="2407"/>
      <c r="N476" s="2407"/>
      <c r="O476" s="2407"/>
      <c r="P476" s="2407"/>
      <c r="Q476" s="2407"/>
      <c r="R476" s="2407"/>
      <c r="S476" s="2407"/>
      <c r="T476" s="2407"/>
      <c r="U476" s="2407"/>
      <c r="V476" s="2407"/>
      <c r="W476" s="2407"/>
      <c r="X476" s="2407"/>
      <c r="Y476" s="2407"/>
      <c r="Z476" s="2407"/>
      <c r="AA476" s="2407"/>
      <c r="AB476" s="2407"/>
      <c r="AC476" s="2407"/>
      <c r="AD476" s="2407"/>
      <c r="AE476" s="2407"/>
      <c r="AF476" s="2407"/>
      <c r="AL476" s="728"/>
      <c r="AM476" s="568"/>
      <c r="AN476" s="595"/>
    </row>
    <row r="477" spans="1:40" s="549" customFormat="1" ht="12.75" customHeight="1">
      <c r="A477" s="536"/>
      <c r="B477" s="14"/>
      <c r="C477" s="735"/>
      <c r="F477" s="2407"/>
      <c r="G477" s="2407"/>
      <c r="H477" s="2407"/>
      <c r="I477" s="2407"/>
      <c r="J477" s="2407"/>
      <c r="K477" s="2407"/>
      <c r="L477" s="2407"/>
      <c r="M477" s="2407"/>
      <c r="N477" s="2407"/>
      <c r="O477" s="2407"/>
      <c r="P477" s="2407"/>
      <c r="Q477" s="2407"/>
      <c r="R477" s="2407"/>
      <c r="S477" s="2407"/>
      <c r="T477" s="2407"/>
      <c r="U477" s="2407"/>
      <c r="V477" s="2407"/>
      <c r="W477" s="2407"/>
      <c r="X477" s="2407"/>
      <c r="Y477" s="2407"/>
      <c r="Z477" s="2407"/>
      <c r="AA477" s="2407"/>
      <c r="AB477" s="2407"/>
      <c r="AC477" s="2407"/>
      <c r="AD477" s="2407"/>
      <c r="AE477" s="2407"/>
      <c r="AF477" s="2407"/>
      <c r="AL477" s="728"/>
      <c r="AM477" s="568"/>
      <c r="AN477" s="595"/>
    </row>
    <row r="478" spans="1:40" s="549" customFormat="1" ht="12.75" customHeight="1">
      <c r="A478" s="536"/>
      <c r="B478" s="14"/>
      <c r="C478" s="735"/>
      <c r="F478" s="2407"/>
      <c r="G478" s="2407"/>
      <c r="H478" s="2407"/>
      <c r="I478" s="2407"/>
      <c r="J478" s="2407"/>
      <c r="K478" s="2407"/>
      <c r="L478" s="2407"/>
      <c r="M478" s="2407"/>
      <c r="N478" s="2407"/>
      <c r="O478" s="2407"/>
      <c r="P478" s="2407"/>
      <c r="Q478" s="2407"/>
      <c r="R478" s="2407"/>
      <c r="S478" s="2407"/>
      <c r="T478" s="2407"/>
      <c r="U478" s="2407"/>
      <c r="V478" s="2407"/>
      <c r="W478" s="2407"/>
      <c r="X478" s="2407"/>
      <c r="Y478" s="2407"/>
      <c r="Z478" s="2407"/>
      <c r="AA478" s="2407"/>
      <c r="AB478" s="2407"/>
      <c r="AC478" s="2407"/>
      <c r="AD478" s="2407"/>
      <c r="AE478" s="2407"/>
      <c r="AF478" s="2407"/>
      <c r="AL478" s="728"/>
      <c r="AM478" s="568"/>
      <c r="AN478" s="595"/>
    </row>
    <row r="479" spans="1:40" s="549" customFormat="1" ht="12.75" customHeight="1">
      <c r="A479" s="536"/>
      <c r="B479" s="14"/>
      <c r="C479" s="2531" t="s">
        <v>591</v>
      </c>
      <c r="D479" s="2491"/>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32" t="s">
        <v>1452</v>
      </c>
      <c r="AG479" s="2532"/>
      <c r="AH479" s="2532"/>
      <c r="AI479" s="2532"/>
      <c r="AJ479" s="2532"/>
      <c r="AK479" s="2532"/>
      <c r="AL479" s="253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94">
        <f>IF(Application!D214="N/A",AS371,AS373)</f>
        <v>10</v>
      </c>
      <c r="AL482" s="2495"/>
      <c r="AM482" s="2496"/>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1500</v>
      </c>
      <c r="C485" s="539"/>
      <c r="E485" s="594"/>
      <c r="AE485" s="2532" t="s">
        <v>1501</v>
      </c>
      <c r="AF485" s="2532"/>
      <c r="AG485" s="2532"/>
      <c r="AH485" s="2532"/>
      <c r="AI485" s="2532"/>
      <c r="AJ485" s="2532"/>
      <c r="AK485" s="253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38" t="s">
        <v>591</v>
      </c>
      <c r="D491" s="2539"/>
      <c r="E491" s="757" t="s">
        <v>507</v>
      </c>
      <c r="F491" s="2540" t="s">
        <v>1507</v>
      </c>
      <c r="G491" s="2540"/>
      <c r="H491" s="2540"/>
      <c r="I491" s="2540"/>
      <c r="J491" s="2540"/>
      <c r="K491" s="2540"/>
      <c r="L491" s="2540"/>
      <c r="M491" s="2540"/>
      <c r="N491" s="2540"/>
      <c r="O491" s="2540"/>
      <c r="P491" s="2540"/>
      <c r="Q491" s="2540"/>
      <c r="R491" s="2540"/>
      <c r="S491" s="2540"/>
      <c r="T491" s="2540"/>
      <c r="U491" s="2540"/>
      <c r="V491" s="2540"/>
      <c r="W491" s="2540"/>
      <c r="X491" s="2540"/>
      <c r="Y491" s="2540"/>
      <c r="Z491" s="2540"/>
      <c r="AA491" s="2540"/>
      <c r="AB491" s="2540"/>
      <c r="AC491" s="2540"/>
      <c r="AD491" s="2540"/>
      <c r="AE491" s="2540"/>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41"/>
      <c r="G492" s="2541"/>
      <c r="H492" s="2541"/>
      <c r="I492" s="2541"/>
      <c r="J492" s="2541"/>
      <c r="K492" s="2541"/>
      <c r="L492" s="2541"/>
      <c r="M492" s="2541"/>
      <c r="N492" s="2541"/>
      <c r="O492" s="2541"/>
      <c r="P492" s="2541"/>
      <c r="Q492" s="2541"/>
      <c r="R492" s="2541"/>
      <c r="S492" s="2541"/>
      <c r="T492" s="2541"/>
      <c r="U492" s="2541"/>
      <c r="V492" s="2541"/>
      <c r="W492" s="2541"/>
      <c r="X492" s="2541"/>
      <c r="Y492" s="2541"/>
      <c r="Z492" s="2541"/>
      <c r="AA492" s="2541"/>
      <c r="AB492" s="2541"/>
      <c r="AC492" s="2541"/>
      <c r="AD492" s="2541"/>
      <c r="AE492" s="2541"/>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36" t="s">
        <v>591</v>
      </c>
      <c r="G493" s="2636"/>
      <c r="H493" s="2636"/>
      <c r="I493" s="2636"/>
      <c r="J493" s="2636"/>
      <c r="K493" s="2636"/>
      <c r="L493" s="2636"/>
      <c r="M493" s="2636"/>
      <c r="N493" s="2636"/>
      <c r="O493" s="2636"/>
      <c r="P493" s="2636"/>
      <c r="Q493" s="2636"/>
      <c r="R493" s="2636"/>
      <c r="S493" s="2636"/>
      <c r="T493" s="2636"/>
      <c r="U493" s="2636"/>
      <c r="V493" s="2636"/>
      <c r="W493" s="2636"/>
      <c r="X493" s="2636"/>
      <c r="Y493" s="2636"/>
      <c r="Z493" s="2636"/>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57" t="s">
        <v>545</v>
      </c>
      <c r="D495" s="2658"/>
      <c r="E495" s="757" t="s">
        <v>757</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25" t="s">
        <v>591</v>
      </c>
      <c r="W498" s="2625"/>
      <c r="X498" s="2625"/>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25" t="s">
        <v>591</v>
      </c>
      <c r="W500" s="2625"/>
      <c r="X500" s="2625"/>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25" t="s">
        <v>591</v>
      </c>
      <c r="W505" s="2625"/>
      <c r="X505" s="2625"/>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611"/>
      <c r="E508" s="2611"/>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25" t="s">
        <v>591</v>
      </c>
      <c r="W509" s="2625"/>
      <c r="X509" s="2625"/>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25" t="s">
        <v>591</v>
      </c>
      <c r="W511" s="2625"/>
      <c r="X511" s="2625"/>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38" t="s">
        <v>591</v>
      </c>
      <c r="D514" s="2539"/>
      <c r="E514" s="757" t="s">
        <v>507</v>
      </c>
      <c r="F514" s="2540" t="s">
        <v>1507</v>
      </c>
      <c r="G514" s="2540"/>
      <c r="H514" s="2540"/>
      <c r="I514" s="2540"/>
      <c r="J514" s="2540"/>
      <c r="K514" s="2540"/>
      <c r="L514" s="2540"/>
      <c r="M514" s="2540"/>
      <c r="N514" s="2540"/>
      <c r="O514" s="2540"/>
      <c r="P514" s="2540"/>
      <c r="Q514" s="2540"/>
      <c r="R514" s="2540"/>
      <c r="S514" s="2540"/>
      <c r="T514" s="2540"/>
      <c r="U514" s="2540"/>
      <c r="V514" s="2540"/>
      <c r="W514" s="2540"/>
      <c r="X514" s="2540"/>
      <c r="Y514" s="2540"/>
      <c r="Z514" s="2540"/>
      <c r="AA514" s="2540"/>
      <c r="AB514" s="2540"/>
      <c r="AC514" s="2540"/>
      <c r="AD514" s="2540"/>
      <c r="AE514" s="254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41"/>
      <c r="G515" s="2541"/>
      <c r="H515" s="2541"/>
      <c r="I515" s="2541"/>
      <c r="J515" s="2541"/>
      <c r="K515" s="2541"/>
      <c r="L515" s="2541"/>
      <c r="M515" s="2541"/>
      <c r="N515" s="2541"/>
      <c r="O515" s="2541"/>
      <c r="P515" s="2541"/>
      <c r="Q515" s="2541"/>
      <c r="R515" s="2541"/>
      <c r="S515" s="2541"/>
      <c r="T515" s="2541"/>
      <c r="U515" s="2541"/>
      <c r="V515" s="2541"/>
      <c r="W515" s="2541"/>
      <c r="X515" s="2541"/>
      <c r="Y515" s="2541"/>
      <c r="Z515" s="2541"/>
      <c r="AA515" s="2541"/>
      <c r="AB515" s="2541"/>
      <c r="AC515" s="2541"/>
      <c r="AD515" s="2541"/>
      <c r="AE515" s="254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32" t="s">
        <v>591</v>
      </c>
      <c r="G516" s="2632"/>
      <c r="H516" s="2632"/>
      <c r="I516" s="2632"/>
      <c r="J516" s="2632"/>
      <c r="K516" s="2632"/>
      <c r="L516" s="2632"/>
      <c r="M516" s="2632"/>
      <c r="N516" s="2632"/>
      <c r="O516" s="2632"/>
      <c r="P516" s="2632"/>
      <c r="Q516" s="2632"/>
      <c r="R516" s="2632"/>
      <c r="S516" s="2632"/>
      <c r="T516" s="2632"/>
      <c r="U516" s="2632"/>
      <c r="V516" s="2632"/>
      <c r="W516" s="2632"/>
      <c r="X516" s="2632"/>
      <c r="Y516" s="2632"/>
      <c r="Z516" s="263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38" t="s">
        <v>591</v>
      </c>
      <c r="D518" s="2539"/>
      <c r="E518" s="757" t="s">
        <v>757</v>
      </c>
      <c r="F518" s="2633" t="s">
        <v>1529</v>
      </c>
      <c r="G518" s="2633"/>
      <c r="H518" s="2633"/>
      <c r="I518" s="2633"/>
      <c r="J518" s="2633"/>
      <c r="K518" s="2633"/>
      <c r="L518" s="2633"/>
      <c r="M518" s="2633"/>
      <c r="N518" s="2633"/>
      <c r="O518" s="2633"/>
      <c r="P518" s="2633"/>
      <c r="Q518" s="2633"/>
      <c r="R518" s="2633"/>
      <c r="S518" s="2633"/>
      <c r="T518" s="2633"/>
      <c r="U518" s="2633"/>
      <c r="V518" s="2633"/>
      <c r="W518" s="2633"/>
      <c r="X518" s="2633"/>
      <c r="Y518" s="2633"/>
      <c r="Z518" s="2633"/>
      <c r="AA518" s="2633"/>
      <c r="AB518" s="2633"/>
      <c r="AC518" s="2633"/>
      <c r="AD518" s="2633"/>
      <c r="AE518" s="263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34"/>
      <c r="G519" s="2634"/>
      <c r="H519" s="2634"/>
      <c r="I519" s="2634"/>
      <c r="J519" s="2634"/>
      <c r="K519" s="2634"/>
      <c r="L519" s="2634"/>
      <c r="M519" s="2634"/>
      <c r="N519" s="2634"/>
      <c r="O519" s="2634"/>
      <c r="P519" s="2634"/>
      <c r="Q519" s="2634"/>
      <c r="R519" s="2634"/>
      <c r="S519" s="2634"/>
      <c r="T519" s="2634"/>
      <c r="U519" s="2634"/>
      <c r="V519" s="2634"/>
      <c r="W519" s="2634"/>
      <c r="X519" s="2634"/>
      <c r="Y519" s="2634"/>
      <c r="Z519" s="2634"/>
      <c r="AA519" s="2634"/>
      <c r="AB519" s="2634"/>
      <c r="AC519" s="2634"/>
      <c r="AD519" s="2634"/>
      <c r="AE519" s="263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35" t="s">
        <v>591</v>
      </c>
      <c r="G521" s="2635"/>
      <c r="H521" s="263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38" t="s">
        <v>591</v>
      </c>
      <c r="D523" s="2539"/>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610"/>
      <c r="D525" s="2611"/>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612" t="s">
        <v>591</v>
      </c>
      <c r="H526" s="2612"/>
      <c r="I526" s="2612"/>
      <c r="J526" s="2612"/>
      <c r="K526" s="2612"/>
      <c r="L526" s="2612"/>
      <c r="M526" s="2612"/>
      <c r="N526" s="2612"/>
      <c r="O526" s="2612"/>
      <c r="P526" s="2612"/>
      <c r="Q526" s="2612"/>
      <c r="R526" s="2612"/>
      <c r="S526" s="2612"/>
      <c r="T526" s="2612"/>
      <c r="U526" s="2612"/>
      <c r="V526" s="2612"/>
      <c r="W526" s="2612"/>
      <c r="X526" s="2612"/>
      <c r="Y526" s="2612"/>
      <c r="Z526" s="2612"/>
      <c r="AA526" s="2612"/>
      <c r="AB526" s="2612"/>
      <c r="AC526" s="2612"/>
      <c r="AD526" s="2612"/>
      <c r="AE526" s="2612"/>
      <c r="AF526" s="261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13" t="s">
        <v>591</v>
      </c>
      <c r="D528" s="261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13" t="s">
        <v>591</v>
      </c>
      <c r="D532" s="2614"/>
      <c r="F532" s="791" t="s">
        <v>1537</v>
      </c>
      <c r="G532" s="2407" t="s">
        <v>1538</v>
      </c>
      <c r="H532" s="2407"/>
      <c r="I532" s="2407"/>
      <c r="J532" s="2407"/>
      <c r="K532" s="2407"/>
      <c r="L532" s="2407"/>
      <c r="M532" s="2407"/>
      <c r="N532" s="2407"/>
      <c r="O532" s="2407"/>
      <c r="P532" s="2407"/>
      <c r="Q532" s="2407"/>
      <c r="R532" s="2407"/>
      <c r="S532" s="2407"/>
      <c r="T532" s="2407"/>
      <c r="U532" s="2407"/>
      <c r="V532" s="2407"/>
      <c r="W532" s="2407"/>
      <c r="X532" s="2407"/>
      <c r="Y532" s="2407"/>
      <c r="Z532" s="2407"/>
      <c r="AA532" s="2407"/>
      <c r="AB532" s="2407"/>
      <c r="AC532" s="2407"/>
      <c r="AD532" s="2407"/>
      <c r="AE532" s="2407"/>
      <c r="AF532" s="240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63"/>
      <c r="H533" s="2563"/>
      <c r="I533" s="2563"/>
      <c r="J533" s="2563"/>
      <c r="K533" s="2563"/>
      <c r="L533" s="2563"/>
      <c r="M533" s="2563"/>
      <c r="N533" s="2563"/>
      <c r="O533" s="2563"/>
      <c r="P533" s="2563"/>
      <c r="Q533" s="2563"/>
      <c r="R533" s="2563"/>
      <c r="S533" s="2563"/>
      <c r="T533" s="2563"/>
      <c r="U533" s="2563"/>
      <c r="V533" s="2563"/>
      <c r="W533" s="2563"/>
      <c r="X533" s="2563"/>
      <c r="Y533" s="2563"/>
      <c r="Z533" s="2563"/>
      <c r="AA533" s="2563"/>
      <c r="AB533" s="2563"/>
      <c r="AC533" s="2563"/>
      <c r="AD533" s="2563"/>
      <c r="AE533" s="2563"/>
      <c r="AF533" s="256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15" t="s">
        <v>591</v>
      </c>
      <c r="D536" s="261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17" t="s">
        <v>591</v>
      </c>
      <c r="G537" s="2617"/>
      <c r="H537" s="2617"/>
      <c r="I537" s="2617"/>
      <c r="J537" s="2617"/>
      <c r="K537" s="2617"/>
      <c r="L537" s="2617"/>
      <c r="M537" s="2617"/>
      <c r="N537" s="2617"/>
      <c r="O537" s="2617"/>
      <c r="P537" s="2617"/>
      <c r="Q537" s="2617"/>
      <c r="R537" s="2617"/>
      <c r="S537" s="2617"/>
      <c r="T537" s="2617"/>
      <c r="U537" s="2617"/>
      <c r="V537" s="2617"/>
      <c r="W537" s="2617"/>
      <c r="X537" s="2617"/>
      <c r="Y537" s="2617"/>
      <c r="Z537" s="2617"/>
      <c r="AA537" s="2617"/>
      <c r="AB537" s="2617"/>
      <c r="AC537" s="2617"/>
      <c r="AD537" s="2617"/>
      <c r="AE537" s="2617"/>
      <c r="AF537" s="261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18"/>
      <c r="G538" s="2618"/>
      <c r="H538" s="2618"/>
      <c r="I538" s="2618"/>
      <c r="J538" s="2618"/>
      <c r="K538" s="2618"/>
      <c r="L538" s="2618"/>
      <c r="M538" s="2618"/>
      <c r="N538" s="2618"/>
      <c r="O538" s="2618"/>
      <c r="P538" s="2618"/>
      <c r="Q538" s="2618"/>
      <c r="R538" s="2618"/>
      <c r="S538" s="2618"/>
      <c r="T538" s="2618"/>
      <c r="U538" s="2618"/>
      <c r="V538" s="2618"/>
      <c r="W538" s="2618"/>
      <c r="X538" s="2618"/>
      <c r="Y538" s="2618"/>
      <c r="Z538" s="2618"/>
      <c r="AA538" s="2618"/>
      <c r="AB538" s="2618"/>
      <c r="AC538" s="2618"/>
      <c r="AD538" s="2618"/>
      <c r="AE538" s="2618"/>
      <c r="AF538" s="261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94">
        <f>SUM(AG492:AG537)</f>
        <v>0</v>
      </c>
      <c r="AL548" s="2495"/>
      <c r="AM548" s="2496"/>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36" t="s">
        <v>1550</v>
      </c>
      <c r="AF551" s="2436"/>
      <c r="AG551" s="2436"/>
      <c r="AH551" s="2436"/>
      <c r="AI551" s="2436"/>
      <c r="AJ551" s="2436"/>
      <c r="AK551" s="243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91" t="s">
        <v>591</v>
      </c>
      <c r="D554" s="2491"/>
      <c r="E554" s="550"/>
      <c r="F554" s="2542" t="s">
        <v>1551</v>
      </c>
      <c r="G554" s="2543"/>
      <c r="H554" s="2543"/>
      <c r="I554" s="2543"/>
      <c r="J554" s="2543"/>
      <c r="K554" s="2543"/>
      <c r="L554" s="2543"/>
      <c r="M554" s="2543"/>
      <c r="N554" s="2543"/>
      <c r="O554" s="2543"/>
      <c r="P554" s="2543"/>
      <c r="Q554" s="2543"/>
      <c r="R554" s="2543"/>
      <c r="S554" s="2543"/>
      <c r="T554" s="2543"/>
      <c r="U554" s="2543"/>
      <c r="V554" s="2543"/>
      <c r="W554" s="2543"/>
      <c r="X554" s="2543"/>
      <c r="Y554" s="2543"/>
      <c r="Z554" s="2543"/>
      <c r="AA554" s="2543"/>
      <c r="AB554" s="2543"/>
      <c r="AC554" s="2543"/>
      <c r="AD554" s="2543"/>
      <c r="AE554" s="2543"/>
      <c r="AF554" s="2543"/>
      <c r="AG554" s="2543"/>
      <c r="AH554" s="2543"/>
      <c r="AI554" s="2543"/>
      <c r="AJ554" s="2543"/>
      <c r="AK554" s="2543"/>
      <c r="AL554" s="2544"/>
      <c r="AM554" s="593"/>
      <c r="AN554" s="595"/>
    </row>
    <row r="555" spans="1:81" s="549" customFormat="1" ht="12.75" customHeight="1">
      <c r="B555" s="539"/>
      <c r="C555" s="550"/>
      <c r="D555" s="550"/>
      <c r="E555" s="550"/>
      <c r="F555" s="2545"/>
      <c r="G555" s="2546"/>
      <c r="H555" s="2546"/>
      <c r="I555" s="2546"/>
      <c r="J555" s="2546"/>
      <c r="K555" s="2546"/>
      <c r="L555" s="2546"/>
      <c r="M555" s="2546"/>
      <c r="N555" s="2546"/>
      <c r="O555" s="2546"/>
      <c r="P555" s="2546"/>
      <c r="Q555" s="2546"/>
      <c r="R555" s="2546"/>
      <c r="S555" s="2546"/>
      <c r="T555" s="2546"/>
      <c r="U555" s="2546"/>
      <c r="V555" s="2546"/>
      <c r="W555" s="2546"/>
      <c r="X555" s="2546"/>
      <c r="Y555" s="2546"/>
      <c r="Z555" s="2546"/>
      <c r="AA555" s="2546"/>
      <c r="AB555" s="2546"/>
      <c r="AC555" s="2546"/>
      <c r="AD555" s="2546"/>
      <c r="AE555" s="2546"/>
      <c r="AF555" s="2546"/>
      <c r="AG555" s="2546"/>
      <c r="AH555" s="2546"/>
      <c r="AI555" s="2546"/>
      <c r="AJ555" s="2546"/>
      <c r="AK555" s="2546"/>
      <c r="AL555" s="254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91" t="s">
        <v>545</v>
      </c>
      <c r="D557" s="2491"/>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85" t="s">
        <v>2622</v>
      </c>
      <c r="G558" s="2486"/>
      <c r="H558" s="2486"/>
      <c r="I558" s="2486"/>
      <c r="J558" s="2486"/>
      <c r="K558" s="2486"/>
      <c r="L558" s="2486"/>
      <c r="M558" s="2486"/>
      <c r="N558" s="2486"/>
      <c r="O558" s="2486"/>
      <c r="P558" s="2486"/>
      <c r="Q558" s="2486"/>
      <c r="R558" s="2486"/>
      <c r="S558" s="2486"/>
      <c r="T558" s="2486"/>
      <c r="U558" s="2486"/>
      <c r="V558" s="2486"/>
      <c r="W558" s="2486"/>
      <c r="X558" s="2486"/>
      <c r="Y558" s="2486"/>
      <c r="Z558" s="2486"/>
      <c r="AA558" s="2486"/>
      <c r="AB558" s="2486"/>
      <c r="AC558" s="2486"/>
      <c r="AD558" s="2486"/>
      <c r="AE558" s="2486"/>
      <c r="AF558" s="2486"/>
      <c r="AG558" s="2486"/>
      <c r="AH558" s="2486"/>
      <c r="AI558" s="2486"/>
      <c r="AJ558" s="2486"/>
      <c r="AK558" s="2486"/>
      <c r="AL558" s="2487"/>
      <c r="AM558" s="593"/>
      <c r="AN558" s="595"/>
      <c r="AS558" s="866"/>
      <c r="AT558" s="866"/>
      <c r="AU558" s="866"/>
      <c r="AV558" s="866"/>
      <c r="AW558" s="866"/>
    </row>
    <row r="559" spans="1:81" s="549" customFormat="1" ht="12.75" customHeight="1">
      <c r="B559" s="802"/>
      <c r="C559" s="802"/>
      <c r="D559" s="802"/>
      <c r="E559" s="802"/>
      <c r="F559" s="2485"/>
      <c r="G559" s="2486"/>
      <c r="H559" s="2486"/>
      <c r="I559" s="2486"/>
      <c r="J559" s="2486"/>
      <c r="K559" s="2486"/>
      <c r="L559" s="2486"/>
      <c r="M559" s="2486"/>
      <c r="N559" s="2486"/>
      <c r="O559" s="2486"/>
      <c r="P559" s="2486"/>
      <c r="Q559" s="2486"/>
      <c r="R559" s="2486"/>
      <c r="S559" s="2486"/>
      <c r="T559" s="2486"/>
      <c r="U559" s="2486"/>
      <c r="V559" s="2486"/>
      <c r="W559" s="2486"/>
      <c r="X559" s="2486"/>
      <c r="Y559" s="2486"/>
      <c r="Z559" s="2486"/>
      <c r="AA559" s="2486"/>
      <c r="AB559" s="2486"/>
      <c r="AC559" s="2486"/>
      <c r="AD559" s="2486"/>
      <c r="AE559" s="2486"/>
      <c r="AF559" s="2486"/>
      <c r="AG559" s="2486"/>
      <c r="AH559" s="2486"/>
      <c r="AI559" s="2486"/>
      <c r="AJ559" s="2486"/>
      <c r="AK559" s="2486"/>
      <c r="AL559" s="2487"/>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85" t="s">
        <v>1553</v>
      </c>
      <c r="G561" s="2486"/>
      <c r="H561" s="2486"/>
      <c r="I561" s="2486"/>
      <c r="J561" s="2486"/>
      <c r="K561" s="2486"/>
      <c r="L561" s="2486"/>
      <c r="M561" s="2486"/>
      <c r="N561" s="2486"/>
      <c r="O561" s="2486"/>
      <c r="P561" s="2486"/>
      <c r="Q561" s="2486"/>
      <c r="R561" s="2486"/>
      <c r="S561" s="2486"/>
      <c r="T561" s="2486"/>
      <c r="U561" s="2486"/>
      <c r="V561" s="2486"/>
      <c r="W561" s="2486"/>
      <c r="X561" s="2486"/>
      <c r="Y561" s="2486"/>
      <c r="Z561" s="2486"/>
      <c r="AA561" s="2486"/>
      <c r="AB561" s="2486"/>
      <c r="AC561" s="2486"/>
      <c r="AD561" s="2486"/>
      <c r="AE561" s="2486"/>
      <c r="AF561" s="2486"/>
      <c r="AG561" s="2486"/>
      <c r="AH561" s="2486"/>
      <c r="AI561" s="2486"/>
      <c r="AJ561" s="2486"/>
      <c r="AK561" s="2486"/>
      <c r="AL561" s="809"/>
      <c r="AM561" s="593"/>
      <c r="AN561" s="595"/>
    </row>
    <row r="562" spans="1:45" s="549" customFormat="1" ht="12.75" customHeight="1">
      <c r="B562" s="802"/>
      <c r="C562" s="802"/>
      <c r="D562" s="802"/>
      <c r="E562" s="802"/>
      <c r="F562" s="2488"/>
      <c r="G562" s="2489"/>
      <c r="H562" s="2489"/>
      <c r="I562" s="2489"/>
      <c r="J562" s="2489"/>
      <c r="K562" s="2489"/>
      <c r="L562" s="2489"/>
      <c r="M562" s="2489"/>
      <c r="N562" s="2489"/>
      <c r="O562" s="2489"/>
      <c r="P562" s="2489"/>
      <c r="Q562" s="2489"/>
      <c r="R562" s="2489"/>
      <c r="S562" s="2489"/>
      <c r="T562" s="2489"/>
      <c r="U562" s="2489"/>
      <c r="V562" s="2489"/>
      <c r="W562" s="2489"/>
      <c r="X562" s="2489"/>
      <c r="Y562" s="2489"/>
      <c r="Z562" s="2489"/>
      <c r="AA562" s="2489"/>
      <c r="AB562" s="2489"/>
      <c r="AC562" s="2489"/>
      <c r="AD562" s="2489"/>
      <c r="AE562" s="2489"/>
      <c r="AF562" s="2489"/>
      <c r="AG562" s="2489"/>
      <c r="AH562" s="2489"/>
      <c r="AI562" s="2489"/>
      <c r="AJ562" s="2489"/>
      <c r="AK562" s="248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24">
        <f>Application!AJ1001</f>
        <v>45929072</v>
      </c>
      <c r="AQ563" s="2624"/>
      <c r="AR563" s="2624"/>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97">
        <f>'Sources and Uses Budget'!S107+'Sources and Uses Budget'!T107</f>
        <v>55337736</v>
      </c>
      <c r="AG564" s="2497"/>
      <c r="AH564" s="2497"/>
      <c r="AI564" s="2497"/>
      <c r="AJ564" s="2497"/>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28">
        <f>IFERROR(AP572,0)</f>
        <v>102506176.59999999</v>
      </c>
      <c r="AG565" s="2628"/>
      <c r="AH565" s="2628"/>
      <c r="AI565" s="2628"/>
      <c r="AJ565" s="2628"/>
      <c r="AK565" s="593"/>
      <c r="AL565" s="593"/>
      <c r="AM565" s="593"/>
      <c r="AN565" s="595"/>
      <c r="AP565" s="2624">
        <f>Application!AJ1054</f>
        <v>22505245.280000001</v>
      </c>
      <c r="AQ565" s="2624"/>
      <c r="AR565" s="2624"/>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29">
        <f>IFERROR(ROUNDDOWN(IF(C557="YES",((1-(AF564/AF565))*2),(1-(AF564/AF565))),2),0)</f>
        <v>0.92</v>
      </c>
      <c r="AG566" s="2629"/>
      <c r="AH566" s="2629"/>
      <c r="AI566" s="2629"/>
      <c r="AJ566" s="2629"/>
      <c r="AK566" s="593"/>
      <c r="AL566" s="593"/>
      <c r="AM566" s="593"/>
      <c r="AN566" s="595"/>
      <c r="AP566" s="2644">
        <f>Application!AJ1058</f>
        <v>45929072</v>
      </c>
      <c r="AQ566" s="2644"/>
      <c r="AR566" s="2644"/>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23">
        <f>IF(((AP565+AP566)/AP563)&gt;0.8,0.8,((AP565+AP566)/AP563))</f>
        <v>0.8</v>
      </c>
      <c r="AQ567" s="2623"/>
      <c r="AR567" s="2623"/>
      <c r="AS567" s="549" t="s">
        <v>2124</v>
      </c>
    </row>
    <row r="568" spans="1:45" s="549" customFormat="1" ht="12.75" customHeight="1">
      <c r="A568" s="622"/>
      <c r="B568" s="2570" t="s">
        <v>1991</v>
      </c>
      <c r="C568" s="2571"/>
      <c r="D568" s="2571"/>
      <c r="E568" s="2571"/>
      <c r="F568" s="2571"/>
      <c r="G568" s="2571"/>
      <c r="H568" s="2571"/>
      <c r="I568" s="2571"/>
      <c r="J568" s="2571"/>
      <c r="K568" s="2571"/>
      <c r="L568" s="2571"/>
      <c r="M568" s="2571"/>
      <c r="N568" s="2571"/>
      <c r="O568" s="2571"/>
      <c r="P568" s="2571"/>
      <c r="Q568" s="2571"/>
      <c r="R568" s="2571"/>
      <c r="S568" s="2571"/>
      <c r="T568" s="2571"/>
      <c r="U568" s="2571"/>
      <c r="V568" s="2571"/>
      <c r="W568" s="2571"/>
      <c r="X568" s="2571"/>
      <c r="Y568" s="2571"/>
      <c r="Z568" s="2571"/>
      <c r="AA568" s="2571"/>
      <c r="AB568" s="2571"/>
      <c r="AC568" s="2571"/>
      <c r="AD568" s="2571"/>
      <c r="AE568" s="2571"/>
      <c r="AF568" s="2571"/>
      <c r="AG568" s="2571"/>
      <c r="AH568" s="2571"/>
      <c r="AI568" s="2571"/>
      <c r="AJ568" s="2572"/>
      <c r="AK568" s="593"/>
      <c r="AL568" s="593"/>
      <c r="AM568" s="593"/>
      <c r="AN568" s="595"/>
    </row>
    <row r="569" spans="1:45" s="549" customFormat="1" ht="12.75" customHeight="1">
      <c r="A569" s="622"/>
      <c r="B569" s="2573"/>
      <c r="C569" s="2574"/>
      <c r="D569" s="2574"/>
      <c r="E569" s="2574"/>
      <c r="F569" s="2574"/>
      <c r="G569" s="2574"/>
      <c r="H569" s="2574"/>
      <c r="I569" s="2574"/>
      <c r="J569" s="2574"/>
      <c r="K569" s="2574"/>
      <c r="L569" s="2574"/>
      <c r="M569" s="2574"/>
      <c r="N569" s="2574"/>
      <c r="O569" s="2574"/>
      <c r="P569" s="2574"/>
      <c r="Q569" s="2574"/>
      <c r="R569" s="2574"/>
      <c r="S569" s="2574"/>
      <c r="T569" s="2574"/>
      <c r="U569" s="2574"/>
      <c r="V569" s="2574"/>
      <c r="W569" s="2574"/>
      <c r="X569" s="2574"/>
      <c r="Y569" s="2574"/>
      <c r="Z569" s="2574"/>
      <c r="AA569" s="2574"/>
      <c r="AB569" s="2574"/>
      <c r="AC569" s="2574"/>
      <c r="AD569" s="2574"/>
      <c r="AE569" s="2574"/>
      <c r="AF569" s="2574"/>
      <c r="AG569" s="2574"/>
      <c r="AH569" s="2574"/>
      <c r="AI569" s="2574"/>
      <c r="AJ569" s="2575"/>
      <c r="AK569" s="593"/>
      <c r="AL569" s="593"/>
      <c r="AM569" s="593"/>
      <c r="AN569" s="595"/>
      <c r="AP569" s="2624">
        <f>AP570-AP565-AP566</f>
        <v>65762919</v>
      </c>
      <c r="AQ569" s="2555"/>
      <c r="AR569" s="2555"/>
      <c r="AS569" s="549" t="s">
        <v>2126</v>
      </c>
    </row>
    <row r="570" spans="1:45" s="549" customFormat="1" ht="12.75" customHeight="1">
      <c r="A570" s="622"/>
      <c r="B570" s="2576"/>
      <c r="C570" s="2577"/>
      <c r="D570" s="2577"/>
      <c r="E570" s="2577"/>
      <c r="F570" s="2577"/>
      <c r="G570" s="2577"/>
      <c r="H570" s="2577"/>
      <c r="I570" s="2577"/>
      <c r="J570" s="2577"/>
      <c r="K570" s="2577"/>
      <c r="L570" s="2577"/>
      <c r="M570" s="2577"/>
      <c r="N570" s="2577"/>
      <c r="O570" s="2577"/>
      <c r="P570" s="2577"/>
      <c r="Q570" s="2577"/>
      <c r="R570" s="2577"/>
      <c r="S570" s="2577"/>
      <c r="T570" s="2577"/>
      <c r="U570" s="2577"/>
      <c r="V570" s="2577"/>
      <c r="W570" s="2577"/>
      <c r="X570" s="2577"/>
      <c r="Y570" s="2577"/>
      <c r="Z570" s="2577"/>
      <c r="AA570" s="2577"/>
      <c r="AB570" s="2577"/>
      <c r="AC570" s="2577"/>
      <c r="AD570" s="2577"/>
      <c r="AE570" s="2577"/>
      <c r="AF570" s="2577"/>
      <c r="AG570" s="2577"/>
      <c r="AH570" s="2577"/>
      <c r="AI570" s="2577"/>
      <c r="AJ570" s="2578"/>
      <c r="AK570" s="593"/>
      <c r="AL570" s="593"/>
      <c r="AM570" s="593"/>
      <c r="AN570" s="595"/>
      <c r="AP570" s="2624">
        <f>Application!AJ1062</f>
        <v>134197236.28</v>
      </c>
      <c r="AQ570" s="2624"/>
      <c r="AR570" s="2624"/>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79">
        <f>IFERROR(IF(AND(C554="N/A",C557="N/A"),0,IF(AF566=0,0,IF((AF566*100)&gt;12,12,(AF566*100)))),0)</f>
        <v>12</v>
      </c>
      <c r="AL572" s="2579"/>
      <c r="AM572" s="2580"/>
      <c r="AN572" s="595"/>
      <c r="AP572" s="2637">
        <f>AP569+(AP563*AP567)</f>
        <v>102506176.59999999</v>
      </c>
      <c r="AQ572" s="2638"/>
      <c r="AR572" s="2639"/>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36" t="s">
        <v>1307</v>
      </c>
      <c r="AF575" s="2436"/>
      <c r="AG575" s="2436"/>
      <c r="AH575" s="2436"/>
      <c r="AI575" s="2436"/>
      <c r="AJ575" s="2436"/>
      <c r="AK575" s="243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86" t="s">
        <v>1983</v>
      </c>
      <c r="C577" s="2486"/>
      <c r="D577" s="2486"/>
      <c r="E577" s="2486"/>
      <c r="F577" s="2486"/>
      <c r="G577" s="2486"/>
      <c r="H577" s="2486"/>
      <c r="I577" s="2486"/>
      <c r="J577" s="2486"/>
      <c r="K577" s="2486"/>
      <c r="L577" s="2486"/>
      <c r="M577" s="2486"/>
      <c r="N577" s="2486"/>
      <c r="O577" s="2486"/>
      <c r="P577" s="2486"/>
      <c r="Q577" s="2486"/>
      <c r="R577" s="2486"/>
      <c r="S577" s="2486"/>
      <c r="T577" s="2486"/>
      <c r="U577" s="2486"/>
      <c r="V577" s="2486"/>
      <c r="W577" s="2486"/>
      <c r="X577" s="2486"/>
      <c r="Y577" s="2486"/>
      <c r="Z577" s="2486"/>
      <c r="AA577" s="2486"/>
      <c r="AB577" s="2486"/>
      <c r="AC577" s="2486"/>
      <c r="AD577" s="2486"/>
      <c r="AE577" s="2486"/>
      <c r="AF577" s="2486"/>
      <c r="AG577" s="2486"/>
      <c r="AH577" s="2486"/>
      <c r="AI577" s="2486"/>
      <c r="AJ577" s="2486"/>
      <c r="AK577" s="640"/>
      <c r="AL577" s="571"/>
      <c r="AM577" s="601"/>
      <c r="AN577" s="595"/>
    </row>
    <row r="578" spans="1:42" s="549" customFormat="1" ht="12.75" customHeight="1">
      <c r="A578" s="601"/>
      <c r="B578" s="2486"/>
      <c r="C578" s="2486"/>
      <c r="D578" s="2486"/>
      <c r="E578" s="2486"/>
      <c r="F578" s="2486"/>
      <c r="G578" s="2486"/>
      <c r="H578" s="2486"/>
      <c r="I578" s="2486"/>
      <c r="J578" s="2486"/>
      <c r="K578" s="2486"/>
      <c r="L578" s="2486"/>
      <c r="M578" s="2486"/>
      <c r="N578" s="2486"/>
      <c r="O578" s="2486"/>
      <c r="P578" s="2486"/>
      <c r="Q578" s="2486"/>
      <c r="R578" s="2486"/>
      <c r="S578" s="2486"/>
      <c r="T578" s="2486"/>
      <c r="U578" s="2486"/>
      <c r="V578" s="2486"/>
      <c r="W578" s="2486"/>
      <c r="X578" s="2486"/>
      <c r="Y578" s="2486"/>
      <c r="Z578" s="2486"/>
      <c r="AA578" s="2486"/>
      <c r="AB578" s="2486"/>
      <c r="AC578" s="2486"/>
      <c r="AD578" s="2486"/>
      <c r="AE578" s="2486"/>
      <c r="AF578" s="2486"/>
      <c r="AG578" s="2486"/>
      <c r="AH578" s="2486"/>
      <c r="AI578" s="2486"/>
      <c r="AJ578" s="2486"/>
      <c r="AK578" s="640"/>
      <c r="AL578" s="571"/>
      <c r="AM578" s="601"/>
      <c r="AN578" s="595"/>
    </row>
    <row r="579" spans="1:42" s="549" customFormat="1" ht="12.75" customHeight="1">
      <c r="A579" s="601"/>
      <c r="B579" s="2486"/>
      <c r="C579" s="2486"/>
      <c r="D579" s="2486"/>
      <c r="E579" s="2486"/>
      <c r="F579" s="2486"/>
      <c r="G579" s="2486"/>
      <c r="H579" s="2486"/>
      <c r="I579" s="2486"/>
      <c r="J579" s="2486"/>
      <c r="K579" s="2486"/>
      <c r="L579" s="2486"/>
      <c r="M579" s="2486"/>
      <c r="N579" s="2486"/>
      <c r="O579" s="2486"/>
      <c r="P579" s="2486"/>
      <c r="Q579" s="2486"/>
      <c r="R579" s="2486"/>
      <c r="S579" s="2486"/>
      <c r="T579" s="2486"/>
      <c r="U579" s="2486"/>
      <c r="V579" s="2486"/>
      <c r="W579" s="2486"/>
      <c r="X579" s="2486"/>
      <c r="Y579" s="2486"/>
      <c r="Z579" s="2486"/>
      <c r="AA579" s="2486"/>
      <c r="AB579" s="2486"/>
      <c r="AC579" s="2486"/>
      <c r="AD579" s="2486"/>
      <c r="AE579" s="2486"/>
      <c r="AF579" s="2486"/>
      <c r="AG579" s="2486"/>
      <c r="AH579" s="2486"/>
      <c r="AI579" s="2486"/>
      <c r="AJ579" s="2486"/>
      <c r="AK579" s="640"/>
      <c r="AL579" s="571"/>
      <c r="AM579" s="601"/>
      <c r="AN579" s="595"/>
    </row>
    <row r="580" spans="1:42" s="549" customFormat="1" ht="12.75" customHeight="1">
      <c r="A580" s="601"/>
      <c r="B580" s="2486"/>
      <c r="C580" s="2486"/>
      <c r="D580" s="2486"/>
      <c r="E580" s="2486"/>
      <c r="F580" s="2486"/>
      <c r="G580" s="2486"/>
      <c r="H580" s="2486"/>
      <c r="I580" s="2486"/>
      <c r="J580" s="2486"/>
      <c r="K580" s="2486"/>
      <c r="L580" s="2486"/>
      <c r="M580" s="2486"/>
      <c r="N580" s="2486"/>
      <c r="O580" s="2486"/>
      <c r="P580" s="2486"/>
      <c r="Q580" s="2486"/>
      <c r="R580" s="2486"/>
      <c r="S580" s="2486"/>
      <c r="T580" s="2486"/>
      <c r="U580" s="2486"/>
      <c r="V580" s="2486"/>
      <c r="W580" s="2486"/>
      <c r="X580" s="2486"/>
      <c r="Y580" s="2486"/>
      <c r="Z580" s="2486"/>
      <c r="AA580" s="2486"/>
      <c r="AB580" s="2486"/>
      <c r="AC580" s="2486"/>
      <c r="AD580" s="2486"/>
      <c r="AE580" s="2486"/>
      <c r="AF580" s="2486"/>
      <c r="AG580" s="2486"/>
      <c r="AH580" s="2486"/>
      <c r="AI580" s="2486"/>
      <c r="AJ580" s="2486"/>
      <c r="AK580" s="640"/>
      <c r="AL580" s="571"/>
      <c r="AM580" s="601"/>
      <c r="AN580" s="595"/>
    </row>
    <row r="581" spans="1:42" s="549" customFormat="1" ht="12.75" customHeight="1">
      <c r="A581" s="601"/>
      <c r="B581" s="2486"/>
      <c r="C581" s="2486"/>
      <c r="D581" s="2486"/>
      <c r="E581" s="2486"/>
      <c r="F581" s="2486"/>
      <c r="G581" s="2486"/>
      <c r="H581" s="2486"/>
      <c r="I581" s="2486"/>
      <c r="J581" s="2486"/>
      <c r="K581" s="2486"/>
      <c r="L581" s="2486"/>
      <c r="M581" s="2486"/>
      <c r="N581" s="2486"/>
      <c r="O581" s="2486"/>
      <c r="P581" s="2486"/>
      <c r="Q581" s="2486"/>
      <c r="R581" s="2486"/>
      <c r="S581" s="2486"/>
      <c r="T581" s="2486"/>
      <c r="U581" s="2486"/>
      <c r="V581" s="2486"/>
      <c r="W581" s="2486"/>
      <c r="X581" s="2486"/>
      <c r="Y581" s="2486"/>
      <c r="Z581" s="2486"/>
      <c r="AA581" s="2486"/>
      <c r="AB581" s="2486"/>
      <c r="AC581" s="2486"/>
      <c r="AD581" s="2486"/>
      <c r="AE581" s="2486"/>
      <c r="AF581" s="2486"/>
      <c r="AG581" s="2486"/>
      <c r="AH581" s="2486"/>
      <c r="AI581" s="2486"/>
      <c r="AJ581" s="2486"/>
      <c r="AK581" s="640"/>
      <c r="AL581" s="571"/>
      <c r="AM581" s="601"/>
      <c r="AN581" s="595"/>
    </row>
    <row r="582" spans="1:42" s="549" customFormat="1" ht="12.75" customHeight="1">
      <c r="A582" s="601"/>
      <c r="B582" s="2486"/>
      <c r="C582" s="2486"/>
      <c r="D582" s="2486"/>
      <c r="E582" s="2486"/>
      <c r="F582" s="2486"/>
      <c r="G582" s="2486"/>
      <c r="H582" s="2486"/>
      <c r="I582" s="2486"/>
      <c r="J582" s="2486"/>
      <c r="K582" s="2486"/>
      <c r="L582" s="2486"/>
      <c r="M582" s="2486"/>
      <c r="N582" s="2486"/>
      <c r="O582" s="2486"/>
      <c r="P582" s="2486"/>
      <c r="Q582" s="2486"/>
      <c r="R582" s="2486"/>
      <c r="S582" s="2486"/>
      <c r="T582" s="2486"/>
      <c r="U582" s="2486"/>
      <c r="V582" s="2486"/>
      <c r="W582" s="2486"/>
      <c r="X582" s="2486"/>
      <c r="Y582" s="2486"/>
      <c r="Z582" s="2486"/>
      <c r="AA582" s="2486"/>
      <c r="AB582" s="2486"/>
      <c r="AC582" s="2486"/>
      <c r="AD582" s="2486"/>
      <c r="AE582" s="2486"/>
      <c r="AF582" s="2486"/>
      <c r="AG582" s="2486"/>
      <c r="AH582" s="2486"/>
      <c r="AI582" s="2486"/>
      <c r="AJ582" s="2486"/>
      <c r="AK582" s="640"/>
      <c r="AL582" s="571"/>
      <c r="AM582" s="601"/>
      <c r="AN582" s="595"/>
    </row>
    <row r="583" spans="1:42" s="549" customFormat="1" ht="12.75" customHeight="1">
      <c r="A583" s="601"/>
      <c r="B583" s="2486"/>
      <c r="C583" s="2486"/>
      <c r="D583" s="2486"/>
      <c r="E583" s="2486"/>
      <c r="F583" s="2486"/>
      <c r="G583" s="2486"/>
      <c r="H583" s="2486"/>
      <c r="I583" s="2486"/>
      <c r="J583" s="2486"/>
      <c r="K583" s="2486"/>
      <c r="L583" s="2486"/>
      <c r="M583" s="2486"/>
      <c r="N583" s="2486"/>
      <c r="O583" s="2486"/>
      <c r="P583" s="2486"/>
      <c r="Q583" s="2486"/>
      <c r="R583" s="2486"/>
      <c r="S583" s="2486"/>
      <c r="T583" s="2486"/>
      <c r="U583" s="2486"/>
      <c r="V583" s="2486"/>
      <c r="W583" s="2486"/>
      <c r="X583" s="2486"/>
      <c r="Y583" s="2486"/>
      <c r="Z583" s="2486"/>
      <c r="AA583" s="2486"/>
      <c r="AB583" s="2486"/>
      <c r="AC583" s="2486"/>
      <c r="AD583" s="2486"/>
      <c r="AE583" s="2486"/>
      <c r="AF583" s="2486"/>
      <c r="AG583" s="2486"/>
      <c r="AH583" s="2486"/>
      <c r="AI583" s="2486"/>
      <c r="AJ583" s="2486"/>
      <c r="AK583" s="640"/>
      <c r="AL583" s="571"/>
      <c r="AM583" s="601"/>
      <c r="AN583" s="595"/>
    </row>
    <row r="584" spans="1:42" ht="12.75" customHeight="1">
      <c r="A584" s="601"/>
      <c r="B584" s="2486"/>
      <c r="C584" s="2486"/>
      <c r="D584" s="2486"/>
      <c r="E584" s="2486"/>
      <c r="F584" s="2486"/>
      <c r="G584" s="2486"/>
      <c r="H584" s="2486"/>
      <c r="I584" s="2486"/>
      <c r="J584" s="2486"/>
      <c r="K584" s="2486"/>
      <c r="L584" s="2486"/>
      <c r="M584" s="2486"/>
      <c r="N584" s="2486"/>
      <c r="O584" s="2486"/>
      <c r="P584" s="2486"/>
      <c r="Q584" s="2486"/>
      <c r="R584" s="2486"/>
      <c r="S584" s="2486"/>
      <c r="T584" s="2486"/>
      <c r="U584" s="2486"/>
      <c r="V584" s="2486"/>
      <c r="W584" s="2486"/>
      <c r="X584" s="2486"/>
      <c r="Y584" s="2486"/>
      <c r="Z584" s="2486"/>
      <c r="AA584" s="2486"/>
      <c r="AB584" s="2486"/>
      <c r="AC584" s="2486"/>
      <c r="AD584" s="2486"/>
      <c r="AE584" s="2486"/>
      <c r="AF584" s="2486"/>
      <c r="AG584" s="2486"/>
      <c r="AH584" s="2486"/>
      <c r="AI584" s="2486"/>
      <c r="AJ584" s="2486"/>
      <c r="AK584" s="640"/>
      <c r="AL584" s="571"/>
      <c r="AM584" s="601"/>
    </row>
    <row r="585" spans="1:42" s="549" customFormat="1" ht="12.75" customHeight="1">
      <c r="B585" s="2486"/>
      <c r="C585" s="2486"/>
      <c r="D585" s="2486"/>
      <c r="E585" s="2486"/>
      <c r="F585" s="2486"/>
      <c r="G585" s="2486"/>
      <c r="H585" s="2486"/>
      <c r="I585" s="2486"/>
      <c r="J585" s="2486"/>
      <c r="K585" s="2486"/>
      <c r="L585" s="2486"/>
      <c r="M585" s="2486"/>
      <c r="N585" s="2486"/>
      <c r="O585" s="2486"/>
      <c r="P585" s="2486"/>
      <c r="Q585" s="2486"/>
      <c r="R585" s="2486"/>
      <c r="S585" s="2486"/>
      <c r="T585" s="2486"/>
      <c r="U585" s="2486"/>
      <c r="V585" s="2486"/>
      <c r="W585" s="2486"/>
      <c r="X585" s="2486"/>
      <c r="Y585" s="2486"/>
      <c r="Z585" s="2486"/>
      <c r="AA585" s="2486"/>
      <c r="AB585" s="2486"/>
      <c r="AC585" s="2486"/>
      <c r="AD585" s="2486"/>
      <c r="AE585" s="2486"/>
      <c r="AF585" s="2486"/>
      <c r="AG585" s="2486"/>
      <c r="AH585" s="2486"/>
      <c r="AI585" s="2486"/>
      <c r="AJ585" s="248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69" t="s">
        <v>1331</v>
      </c>
      <c r="AG591" s="2469"/>
      <c r="AH591" s="2469"/>
      <c r="AI591" s="2469"/>
      <c r="AJ591" s="2469"/>
      <c r="AK591" s="2469"/>
      <c r="AL591" s="246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69" t="s">
        <v>1387</v>
      </c>
      <c r="AG598" s="2469"/>
      <c r="AH598" s="2469"/>
      <c r="AI598" s="2469"/>
      <c r="AJ598" s="2469"/>
      <c r="AK598" s="2469"/>
      <c r="AL598" s="246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69" t="s">
        <v>1370</v>
      </c>
      <c r="AG604" s="2469"/>
      <c r="AH604" s="2469"/>
      <c r="AI604" s="2469"/>
      <c r="AJ604" s="2469"/>
      <c r="AK604" s="2469"/>
      <c r="AL604" s="246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69" t="s">
        <v>1390</v>
      </c>
      <c r="AG610" s="2469"/>
      <c r="AH610" s="2469"/>
      <c r="AI610" s="2469"/>
      <c r="AJ610" s="2469"/>
      <c r="AK610" s="2469"/>
      <c r="AL610" s="246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51" t="s">
        <v>1183</v>
      </c>
      <c r="P614" s="2551"/>
      <c r="Q614" s="2551"/>
      <c r="R614" s="2551"/>
      <c r="S614" s="2551"/>
      <c r="T614" s="2551"/>
      <c r="U614" s="2551"/>
      <c r="V614" s="2551"/>
      <c r="W614" s="2551"/>
      <c r="X614" s="2551"/>
      <c r="Y614" s="2551"/>
      <c r="Z614" s="2551"/>
      <c r="AA614" s="2551"/>
      <c r="AB614" s="255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69" t="s">
        <v>1345</v>
      </c>
      <c r="AG616" s="2469"/>
      <c r="AH616" s="2469"/>
      <c r="AI616" s="2469"/>
      <c r="AJ616" s="2469"/>
      <c r="AK616" s="2469"/>
      <c r="AL616" s="246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1391</v>
      </c>
      <c r="E619" s="932"/>
      <c r="F619" s="932"/>
      <c r="G619" s="932"/>
      <c r="H619" s="2549" t="s">
        <v>687</v>
      </c>
      <c r="I619" s="2549"/>
      <c r="J619" s="932"/>
      <c r="K619" s="932"/>
      <c r="L619" s="932"/>
      <c r="N619" s="22"/>
      <c r="O619" s="22"/>
      <c r="P619" s="22"/>
      <c r="Q619" s="1145" t="s">
        <v>2129</v>
      </c>
      <c r="R619" s="2552"/>
      <c r="S619" s="2552"/>
      <c r="T619" s="2552"/>
      <c r="U619" s="2552"/>
      <c r="V619" s="2552"/>
      <c r="W619" s="2552"/>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53" t="str">
        <f>IF(AND(H619="(i)",NOT(AP595)),AO612,IF(AND(H619="(iv)",OR(R619=AO608,R619=AO607),NOT(AP596)),AO613,""))</f>
        <v/>
      </c>
      <c r="Z620" s="2553"/>
      <c r="AA620" s="2553"/>
      <c r="AB620" s="2553"/>
      <c r="AC620" s="2553"/>
      <c r="AD620" s="2553"/>
      <c r="AE620" s="2553"/>
      <c r="AF620" s="2553"/>
      <c r="AG620" s="2553"/>
      <c r="AH620" s="2553"/>
      <c r="AI620" s="2553"/>
      <c r="AJ620" s="2553"/>
      <c r="AK620" s="2553"/>
      <c r="AL620" s="2553"/>
      <c r="AM620" s="2554"/>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53"/>
      <c r="Z621" s="2553"/>
      <c r="AA621" s="2553"/>
      <c r="AB621" s="2553"/>
      <c r="AC621" s="2553"/>
      <c r="AD621" s="2553"/>
      <c r="AE621" s="2553"/>
      <c r="AF621" s="2553"/>
      <c r="AG621" s="2553"/>
      <c r="AH621" s="2553"/>
      <c r="AI621" s="2553"/>
      <c r="AJ621" s="2553"/>
      <c r="AK621" s="2553"/>
      <c r="AL621" s="2553"/>
      <c r="AM621" s="2554"/>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1391</v>
      </c>
      <c r="F627" s="932"/>
      <c r="G627" s="932"/>
      <c r="I627" s="2550" t="s">
        <v>591</v>
      </c>
      <c r="J627" s="2550"/>
      <c r="K627" s="2550"/>
      <c r="L627" s="2550"/>
      <c r="M627" s="2550"/>
      <c r="N627" s="2550"/>
      <c r="O627" s="2550"/>
      <c r="P627" s="2550"/>
      <c r="Q627" s="2550"/>
      <c r="R627" s="2550"/>
      <c r="S627" s="2550"/>
      <c r="T627" s="2550"/>
      <c r="U627" s="2550"/>
      <c r="V627" s="2550"/>
      <c r="W627" s="2550"/>
      <c r="X627" s="2550"/>
      <c r="Y627" s="2550"/>
      <c r="Z627" s="2550"/>
      <c r="AA627" s="2550"/>
      <c r="AB627" s="2550"/>
      <c r="AC627" s="2550"/>
      <c r="AD627" s="2550"/>
      <c r="AE627" s="2550"/>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81" t="s">
        <v>591</v>
      </c>
      <c r="C629" s="2481"/>
      <c r="D629" s="640"/>
      <c r="E629" s="2486" t="s">
        <v>1394</v>
      </c>
      <c r="F629" s="2486"/>
      <c r="G629" s="2486"/>
      <c r="H629" s="2486"/>
      <c r="I629" s="2486"/>
      <c r="J629" s="2486"/>
      <c r="K629" s="2486"/>
      <c r="L629" s="2486"/>
      <c r="M629" s="2486"/>
      <c r="N629" s="2486"/>
      <c r="O629" s="2486"/>
      <c r="P629" s="2486"/>
      <c r="Q629" s="2486"/>
      <c r="R629" s="2486"/>
      <c r="S629" s="2486"/>
      <c r="T629" s="2486"/>
      <c r="U629" s="2486"/>
      <c r="V629" s="2486"/>
      <c r="W629" s="2486"/>
      <c r="X629" s="2486"/>
      <c r="Y629" s="2486"/>
      <c r="Z629" s="2486"/>
      <c r="AA629" s="2486"/>
      <c r="AB629" s="2486"/>
      <c r="AC629" s="2486"/>
      <c r="AD629" s="2486"/>
      <c r="AE629" s="2486"/>
      <c r="AF629" s="2486"/>
      <c r="AG629" s="2486"/>
      <c r="AH629" s="640"/>
      <c r="AI629" s="640"/>
      <c r="AJ629" s="640"/>
      <c r="AK629" s="640"/>
      <c r="AL629" s="640"/>
      <c r="AN629" s="595"/>
    </row>
    <row r="630" spans="1:42" s="549" customFormat="1" ht="12.75" customHeight="1">
      <c r="B630" s="536"/>
      <c r="C630" s="929"/>
      <c r="D630" s="640"/>
      <c r="E630" s="2486"/>
      <c r="F630" s="2486"/>
      <c r="G630" s="2486"/>
      <c r="H630" s="2486"/>
      <c r="I630" s="2486"/>
      <c r="J630" s="2486"/>
      <c r="K630" s="2486"/>
      <c r="L630" s="2486"/>
      <c r="M630" s="2486"/>
      <c r="N630" s="2486"/>
      <c r="O630" s="2486"/>
      <c r="P630" s="2486"/>
      <c r="Q630" s="2486"/>
      <c r="R630" s="2486"/>
      <c r="S630" s="2486"/>
      <c r="T630" s="2486"/>
      <c r="U630" s="2486"/>
      <c r="V630" s="2486"/>
      <c r="W630" s="2486"/>
      <c r="X630" s="2486"/>
      <c r="Y630" s="2486"/>
      <c r="Z630" s="2486"/>
      <c r="AA630" s="2486"/>
      <c r="AB630" s="2486"/>
      <c r="AC630" s="2486"/>
      <c r="AD630" s="2486"/>
      <c r="AE630" s="2486"/>
      <c r="AF630" s="2486"/>
      <c r="AG630" s="2486"/>
      <c r="AH630" s="640"/>
      <c r="AI630" s="640"/>
      <c r="AJ630" s="640"/>
      <c r="AK630" s="640"/>
      <c r="AL630" s="640"/>
      <c r="AN630" s="595"/>
    </row>
    <row r="631" spans="1:42" s="549" customFormat="1" ht="12.75" customHeight="1">
      <c r="B631" s="536"/>
      <c r="C631" s="929"/>
      <c r="D631" s="640"/>
      <c r="E631" s="2486"/>
      <c r="F631" s="2486"/>
      <c r="G631" s="2486"/>
      <c r="H631" s="2486"/>
      <c r="I631" s="2486"/>
      <c r="J631" s="2486"/>
      <c r="K631" s="2486"/>
      <c r="L631" s="2486"/>
      <c r="M631" s="2486"/>
      <c r="N631" s="2486"/>
      <c r="O631" s="2486"/>
      <c r="P631" s="2486"/>
      <c r="Q631" s="2486"/>
      <c r="R631" s="2486"/>
      <c r="S631" s="2486"/>
      <c r="T631" s="2486"/>
      <c r="U631" s="2486"/>
      <c r="V631" s="2486"/>
      <c r="W631" s="2486"/>
      <c r="X631" s="2486"/>
      <c r="Y631" s="2486"/>
      <c r="Z631" s="2486"/>
      <c r="AA631" s="2486"/>
      <c r="AB631" s="2486"/>
      <c r="AC631" s="2486"/>
      <c r="AD631" s="2486"/>
      <c r="AE631" s="2486"/>
      <c r="AF631" s="2486"/>
      <c r="AG631" s="2486"/>
      <c r="AH631" s="640"/>
      <c r="AI631" s="640"/>
      <c r="AJ631" s="640"/>
      <c r="AK631" s="640"/>
      <c r="AL631" s="640"/>
      <c r="AN631" s="595"/>
    </row>
    <row r="632" spans="1:42" s="549" customFormat="1" ht="12.75" customHeight="1">
      <c r="B632" s="536"/>
      <c r="C632" s="929"/>
      <c r="D632" s="640"/>
      <c r="E632" s="2486"/>
      <c r="F632" s="2486"/>
      <c r="G632" s="2486"/>
      <c r="H632" s="2486"/>
      <c r="I632" s="2486"/>
      <c r="J632" s="2486"/>
      <c r="K632" s="2486"/>
      <c r="L632" s="2486"/>
      <c r="M632" s="2486"/>
      <c r="N632" s="2486"/>
      <c r="O632" s="2486"/>
      <c r="P632" s="2486"/>
      <c r="Q632" s="2486"/>
      <c r="R632" s="2486"/>
      <c r="S632" s="2486"/>
      <c r="T632" s="2486"/>
      <c r="U632" s="2486"/>
      <c r="V632" s="2486"/>
      <c r="W632" s="2486"/>
      <c r="X632" s="2486"/>
      <c r="Y632" s="2486"/>
      <c r="Z632" s="2486"/>
      <c r="AA632" s="2486"/>
      <c r="AB632" s="2486"/>
      <c r="AC632" s="2486"/>
      <c r="AD632" s="2486"/>
      <c r="AE632" s="2486"/>
      <c r="AF632" s="2486"/>
      <c r="AG632" s="248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94">
        <f>VLOOKUP($H$619,$AO$599:$AP$604,2,FALSE)+IF(R619=AO607,0,VLOOKUP($I$627,$AO$626:$AP$628,2,FALSE))</f>
        <v>7</v>
      </c>
      <c r="AK634" s="2496"/>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48" t="s">
        <v>1682</v>
      </c>
      <c r="F638" s="2548"/>
      <c r="G638" s="2548"/>
      <c r="H638" s="2548"/>
      <c r="I638" s="2548"/>
      <c r="J638" s="2548"/>
      <c r="K638" s="2548"/>
      <c r="L638" s="2548"/>
      <c r="M638" s="2548"/>
      <c r="N638" s="2548"/>
      <c r="O638" s="2548"/>
      <c r="P638" s="2548"/>
      <c r="Q638" s="2548"/>
      <c r="R638" s="2548"/>
      <c r="S638" s="2548"/>
      <c r="T638" s="2548"/>
      <c r="U638" s="2548"/>
      <c r="V638" s="2548"/>
      <c r="W638" s="2548"/>
      <c r="X638" s="2548"/>
      <c r="Y638" s="2548"/>
      <c r="Z638" s="2548"/>
      <c r="AA638" s="2548"/>
      <c r="AB638" s="2548"/>
      <c r="AC638" s="2548"/>
      <c r="AD638" s="2548"/>
      <c r="AE638" s="539"/>
      <c r="AF638" s="2469" t="s">
        <v>1345</v>
      </c>
      <c r="AG638" s="2469"/>
      <c r="AH638" s="2469"/>
      <c r="AI638" s="2469"/>
      <c r="AJ638" s="2469"/>
      <c r="AK638" s="2469"/>
      <c r="AL638" s="2469"/>
      <c r="AM638" s="549"/>
      <c r="AN638" s="674"/>
    </row>
    <row r="639" spans="1:42" s="549" customFormat="1" ht="12.75" customHeight="1">
      <c r="A639" s="675"/>
      <c r="B639" s="536"/>
      <c r="C639" s="929"/>
      <c r="D639" s="659"/>
      <c r="E639" s="2548"/>
      <c r="F639" s="2548"/>
      <c r="G639" s="2548"/>
      <c r="H639" s="2548"/>
      <c r="I639" s="2548"/>
      <c r="J639" s="2548"/>
      <c r="K639" s="2548"/>
      <c r="L639" s="2548"/>
      <c r="M639" s="2548"/>
      <c r="N639" s="2548"/>
      <c r="O639" s="2548"/>
      <c r="P639" s="2548"/>
      <c r="Q639" s="2548"/>
      <c r="R639" s="2548"/>
      <c r="S639" s="2548"/>
      <c r="T639" s="2548"/>
      <c r="U639" s="2548"/>
      <c r="V639" s="2548"/>
      <c r="W639" s="2548"/>
      <c r="X639" s="2548"/>
      <c r="Y639" s="2548"/>
      <c r="Z639" s="2548"/>
      <c r="AA639" s="2548"/>
      <c r="AB639" s="2548"/>
      <c r="AC639" s="2548"/>
      <c r="AD639" s="2548"/>
      <c r="AE639" s="536"/>
      <c r="AF639" s="536"/>
      <c r="AG639" s="536"/>
      <c r="AH639" s="536"/>
      <c r="AI639" s="536"/>
      <c r="AJ639" s="536"/>
      <c r="AK639" s="536"/>
      <c r="AL639" s="536"/>
      <c r="AN639" s="595"/>
    </row>
    <row r="640" spans="1:42" s="549" customFormat="1" ht="12.75" customHeight="1">
      <c r="B640" s="536"/>
      <c r="C640" s="927"/>
      <c r="D640" s="659"/>
      <c r="E640" s="2548"/>
      <c r="F640" s="2548"/>
      <c r="G640" s="2548"/>
      <c r="H640" s="2548"/>
      <c r="I640" s="2548"/>
      <c r="J640" s="2548"/>
      <c r="K640" s="2548"/>
      <c r="L640" s="2548"/>
      <c r="M640" s="2548"/>
      <c r="N640" s="2548"/>
      <c r="O640" s="2548"/>
      <c r="P640" s="2548"/>
      <c r="Q640" s="2548"/>
      <c r="R640" s="2548"/>
      <c r="S640" s="2548"/>
      <c r="T640" s="2548"/>
      <c r="U640" s="2548"/>
      <c r="V640" s="2548"/>
      <c r="W640" s="2548"/>
      <c r="X640" s="2548"/>
      <c r="Y640" s="2548"/>
      <c r="Z640" s="2548"/>
      <c r="AA640" s="2548"/>
      <c r="AB640" s="2548"/>
      <c r="AC640" s="2548"/>
      <c r="AD640" s="2548"/>
      <c r="AE640" s="536"/>
      <c r="AF640" s="536"/>
      <c r="AG640" s="536"/>
      <c r="AH640" s="536"/>
      <c r="AI640" s="536"/>
      <c r="AJ640" s="536"/>
      <c r="AK640" s="536"/>
      <c r="AL640" s="536"/>
      <c r="AN640" s="595"/>
    </row>
    <row r="641" spans="1:42" s="549" customFormat="1" ht="12.75" customHeight="1">
      <c r="B641" s="536"/>
      <c r="C641" s="927"/>
      <c r="D641" s="659"/>
      <c r="E641" s="2548"/>
      <c r="F641" s="2548"/>
      <c r="G641" s="2548"/>
      <c r="H641" s="2548"/>
      <c r="I641" s="2548"/>
      <c r="J641" s="2548"/>
      <c r="K641" s="2548"/>
      <c r="L641" s="2548"/>
      <c r="M641" s="2548"/>
      <c r="N641" s="2548"/>
      <c r="O641" s="2548"/>
      <c r="P641" s="2548"/>
      <c r="Q641" s="2548"/>
      <c r="R641" s="2548"/>
      <c r="S641" s="2548"/>
      <c r="T641" s="2548"/>
      <c r="U641" s="2548"/>
      <c r="V641" s="2548"/>
      <c r="W641" s="2548"/>
      <c r="X641" s="2548"/>
      <c r="Y641" s="2548"/>
      <c r="Z641" s="2548"/>
      <c r="AA641" s="2548"/>
      <c r="AB641" s="2548"/>
      <c r="AC641" s="2548"/>
      <c r="AD641" s="2548"/>
      <c r="AE641" s="536"/>
      <c r="AF641" s="536"/>
      <c r="AG641" s="536"/>
      <c r="AH641" s="536"/>
      <c r="AI641" s="536"/>
      <c r="AJ641" s="536"/>
      <c r="AK641" s="536"/>
      <c r="AL641" s="536"/>
      <c r="AN641" s="595"/>
    </row>
    <row r="642" spans="1:42" s="549" customFormat="1" ht="12.75" customHeight="1">
      <c r="B642" s="536"/>
      <c r="C642" s="927"/>
      <c r="D642" s="659"/>
      <c r="E642" s="2548"/>
      <c r="F642" s="2548"/>
      <c r="G642" s="2548"/>
      <c r="H642" s="2548"/>
      <c r="I642" s="2548"/>
      <c r="J642" s="2548"/>
      <c r="K642" s="2548"/>
      <c r="L642" s="2548"/>
      <c r="M642" s="2548"/>
      <c r="N642" s="2548"/>
      <c r="O642" s="2548"/>
      <c r="P642" s="2548"/>
      <c r="Q642" s="2548"/>
      <c r="R642" s="2548"/>
      <c r="S642" s="2548"/>
      <c r="T642" s="2548"/>
      <c r="U642" s="2548"/>
      <c r="V642" s="2548"/>
      <c r="W642" s="2548"/>
      <c r="X642" s="2548"/>
      <c r="Y642" s="2548"/>
      <c r="Z642" s="2548"/>
      <c r="AA642" s="2548"/>
      <c r="AB642" s="2548"/>
      <c r="AC642" s="2548"/>
      <c r="AD642" s="2548"/>
      <c r="AE642" s="536"/>
      <c r="AF642" s="536"/>
      <c r="AG642" s="536"/>
      <c r="AH642" s="536"/>
      <c r="AI642" s="536"/>
      <c r="AJ642" s="536"/>
      <c r="AK642" s="536"/>
      <c r="AL642" s="536"/>
      <c r="AN642" s="595"/>
    </row>
    <row r="643" spans="1:42" s="549" customFormat="1" ht="12.75" customHeight="1">
      <c r="B643" s="536"/>
      <c r="C643" s="927"/>
      <c r="D643" s="659"/>
      <c r="E643" s="2548"/>
      <c r="F643" s="2548"/>
      <c r="G643" s="2548"/>
      <c r="H643" s="2548"/>
      <c r="I643" s="2548"/>
      <c r="J643" s="2548"/>
      <c r="K643" s="2548"/>
      <c r="L643" s="2548"/>
      <c r="M643" s="2548"/>
      <c r="N643" s="2548"/>
      <c r="O643" s="2548"/>
      <c r="P643" s="2548"/>
      <c r="Q643" s="2548"/>
      <c r="R643" s="2548"/>
      <c r="S643" s="2548"/>
      <c r="T643" s="2548"/>
      <c r="U643" s="2548"/>
      <c r="V643" s="2548"/>
      <c r="W643" s="2548"/>
      <c r="X643" s="2548"/>
      <c r="Y643" s="2548"/>
      <c r="Z643" s="2548"/>
      <c r="AA643" s="2548"/>
      <c r="AB643" s="2548"/>
      <c r="AC643" s="2548"/>
      <c r="AD643" s="2548"/>
      <c r="AE643" s="536"/>
      <c r="AF643" s="536"/>
      <c r="AG643" s="536"/>
      <c r="AH643" s="536"/>
      <c r="AI643" s="536"/>
      <c r="AJ643" s="536"/>
      <c r="AK643" s="536"/>
      <c r="AL643" s="536"/>
      <c r="AN643" s="595"/>
    </row>
    <row r="644" spans="1:42" s="549" customFormat="1" ht="12.75" customHeight="1">
      <c r="A644" s="635"/>
      <c r="B644" s="614"/>
      <c r="C644" s="936"/>
      <c r="D644" s="659"/>
      <c r="E644" s="2548"/>
      <c r="F644" s="2548"/>
      <c r="G644" s="2548"/>
      <c r="H644" s="2548"/>
      <c r="I644" s="2548"/>
      <c r="J644" s="2548"/>
      <c r="K644" s="2548"/>
      <c r="L644" s="2548"/>
      <c r="M644" s="2548"/>
      <c r="N644" s="2548"/>
      <c r="O644" s="2548"/>
      <c r="P644" s="2548"/>
      <c r="Q644" s="2548"/>
      <c r="R644" s="2548"/>
      <c r="S644" s="2548"/>
      <c r="T644" s="2548"/>
      <c r="U644" s="2548"/>
      <c r="V644" s="2548"/>
      <c r="W644" s="2548"/>
      <c r="X644" s="2548"/>
      <c r="Y644" s="2548"/>
      <c r="Z644" s="2548"/>
      <c r="AA644" s="2548"/>
      <c r="AB644" s="2548"/>
      <c r="AC644" s="2548"/>
      <c r="AD644" s="2548"/>
      <c r="AE644" s="614"/>
      <c r="AF644" s="614"/>
      <c r="AG644" s="614"/>
      <c r="AH644" s="614"/>
      <c r="AI644" s="614"/>
      <c r="AJ644" s="614"/>
      <c r="AK644" s="536"/>
      <c r="AL644" s="536"/>
      <c r="AN644" s="595"/>
    </row>
    <row r="645" spans="1:42" s="549" customFormat="1" ht="12.75" customHeight="1">
      <c r="B645" s="614"/>
      <c r="C645" s="936"/>
      <c r="D645" s="659"/>
      <c r="E645" s="2548"/>
      <c r="F645" s="2548"/>
      <c r="G645" s="2548"/>
      <c r="H645" s="2548"/>
      <c r="I645" s="2548"/>
      <c r="J645" s="2548"/>
      <c r="K645" s="2548"/>
      <c r="L645" s="2548"/>
      <c r="M645" s="2548"/>
      <c r="N645" s="2548"/>
      <c r="O645" s="2548"/>
      <c r="P645" s="2548"/>
      <c r="Q645" s="2548"/>
      <c r="R645" s="2548"/>
      <c r="S645" s="2548"/>
      <c r="T645" s="2548"/>
      <c r="U645" s="2548"/>
      <c r="V645" s="2548"/>
      <c r="W645" s="2548"/>
      <c r="X645" s="2548"/>
      <c r="Y645" s="2548"/>
      <c r="Z645" s="2548"/>
      <c r="AA645" s="2548"/>
      <c r="AB645" s="2548"/>
      <c r="AC645" s="2548"/>
      <c r="AD645" s="254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81" t="s">
        <v>591</v>
      </c>
      <c r="Y647" s="2481"/>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69" t="s">
        <v>1399</v>
      </c>
      <c r="AG649" s="2469"/>
      <c r="AH649" s="2469"/>
      <c r="AI649" s="2469"/>
      <c r="AJ649" s="2469"/>
      <c r="AK649" s="2469"/>
      <c r="AL649" s="246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49" t="s">
        <v>687</v>
      </c>
      <c r="I651" s="2549"/>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94">
        <f>VLOOKUP($H$651,$AO$618:$AP$620,2,FALSE)</f>
        <v>3</v>
      </c>
      <c r="AK653" s="2496"/>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86" t="s">
        <v>2051</v>
      </c>
      <c r="F657" s="2486"/>
      <c r="G657" s="2486"/>
      <c r="H657" s="2486"/>
      <c r="I657" s="2486"/>
      <c r="J657" s="2486"/>
      <c r="K657" s="2486"/>
      <c r="L657" s="2486"/>
      <c r="M657" s="2486"/>
      <c r="N657" s="2486"/>
      <c r="O657" s="2486"/>
      <c r="P657" s="2486"/>
      <c r="Q657" s="2486"/>
      <c r="R657" s="2486"/>
      <c r="S657" s="2486"/>
      <c r="T657" s="2486"/>
      <c r="U657" s="2486"/>
      <c r="V657" s="2486"/>
      <c r="W657" s="2486"/>
      <c r="X657" s="2486"/>
      <c r="Y657" s="2486"/>
      <c r="Z657" s="2486"/>
      <c r="AA657" s="2486"/>
      <c r="AB657" s="2486"/>
      <c r="AC657" s="2486"/>
      <c r="AD657" s="2486"/>
      <c r="AE657" s="536"/>
      <c r="AF657" s="2469" t="s">
        <v>1345</v>
      </c>
      <c r="AG657" s="2469"/>
      <c r="AH657" s="2469"/>
      <c r="AI657" s="2469"/>
      <c r="AJ657" s="2469"/>
      <c r="AK657" s="2469"/>
      <c r="AL657" s="2469"/>
      <c r="AN657" s="595"/>
    </row>
    <row r="658" spans="1:42" s="549" customFormat="1" ht="12.75" customHeight="1">
      <c r="B658" s="536"/>
      <c r="C658" s="536"/>
      <c r="D658" s="659"/>
      <c r="E658" s="2486"/>
      <c r="F658" s="2486"/>
      <c r="G658" s="2486"/>
      <c r="H658" s="2486"/>
      <c r="I658" s="2486"/>
      <c r="J658" s="2486"/>
      <c r="K658" s="2486"/>
      <c r="L658" s="2486"/>
      <c r="M658" s="2486"/>
      <c r="N658" s="2486"/>
      <c r="O658" s="2486"/>
      <c r="P658" s="2486"/>
      <c r="Q658" s="2486"/>
      <c r="R658" s="2486"/>
      <c r="S658" s="2486"/>
      <c r="T658" s="2486"/>
      <c r="U658" s="2486"/>
      <c r="V658" s="2486"/>
      <c r="W658" s="2486"/>
      <c r="X658" s="2486"/>
      <c r="Y658" s="2486"/>
      <c r="Z658" s="2486"/>
      <c r="AA658" s="2486"/>
      <c r="AB658" s="2486"/>
      <c r="AC658" s="2486"/>
      <c r="AD658" s="248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69" t="s">
        <v>1399</v>
      </c>
      <c r="AG660" s="2469"/>
      <c r="AH660" s="2469"/>
      <c r="AI660" s="2469"/>
      <c r="AJ660" s="2469"/>
      <c r="AK660" s="2469"/>
      <c r="AL660" s="246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49" t="s">
        <v>591</v>
      </c>
      <c r="I663" s="2549"/>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94">
        <f>VLOOKUP(H663,AT618:AU620,2,FALSE)</f>
        <v>0</v>
      </c>
      <c r="AK665" s="2496"/>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86" t="s">
        <v>1409</v>
      </c>
      <c r="F670" s="2486"/>
      <c r="G670" s="2486"/>
      <c r="H670" s="2486"/>
      <c r="I670" s="2486"/>
      <c r="J670" s="2486"/>
      <c r="K670" s="2486"/>
      <c r="L670" s="2486"/>
      <c r="M670" s="2486"/>
      <c r="N670" s="2486"/>
      <c r="O670" s="2486"/>
      <c r="P670" s="2486"/>
      <c r="Q670" s="2486"/>
      <c r="R670" s="2486"/>
      <c r="S670" s="2486"/>
      <c r="T670" s="2486"/>
      <c r="U670" s="2486"/>
      <c r="V670" s="2486"/>
      <c r="W670" s="2486"/>
      <c r="X670" s="2486"/>
      <c r="Y670" s="2486"/>
      <c r="Z670" s="2486"/>
      <c r="AA670" s="2486"/>
      <c r="AB670" s="2486"/>
      <c r="AC670" s="2486"/>
      <c r="AD670" s="536"/>
      <c r="AE670" s="536"/>
      <c r="AF670" s="2469" t="s">
        <v>1370</v>
      </c>
      <c r="AG670" s="2469"/>
      <c r="AH670" s="2469"/>
      <c r="AI670" s="2469"/>
      <c r="AJ670" s="2469"/>
      <c r="AK670" s="2469"/>
      <c r="AL670" s="2469"/>
      <c r="AN670" s="595"/>
    </row>
    <row r="671" spans="1:42" s="549" customFormat="1" ht="12.75" customHeight="1">
      <c r="B671" s="536"/>
      <c r="C671" s="539"/>
      <c r="D671" s="536"/>
      <c r="E671" s="2486"/>
      <c r="F671" s="2486"/>
      <c r="G671" s="2486"/>
      <c r="H671" s="2486"/>
      <c r="I671" s="2486"/>
      <c r="J671" s="2486"/>
      <c r="K671" s="2486"/>
      <c r="L671" s="2486"/>
      <c r="M671" s="2486"/>
      <c r="N671" s="2486"/>
      <c r="O671" s="2486"/>
      <c r="P671" s="2486"/>
      <c r="Q671" s="2486"/>
      <c r="R671" s="2486"/>
      <c r="S671" s="2486"/>
      <c r="T671" s="2486"/>
      <c r="U671" s="2486"/>
      <c r="V671" s="2486"/>
      <c r="W671" s="2486"/>
      <c r="X671" s="2486"/>
      <c r="Y671" s="2486"/>
      <c r="Z671" s="2486"/>
      <c r="AA671" s="2486"/>
      <c r="AB671" s="2486"/>
      <c r="AC671" s="2486"/>
      <c r="AD671" s="536"/>
      <c r="AE671" s="536"/>
      <c r="AF671" s="536"/>
      <c r="AG671" s="536"/>
      <c r="AH671" s="536"/>
      <c r="AI671" s="536"/>
      <c r="AJ671" s="536"/>
      <c r="AK671" s="536"/>
      <c r="AL671" s="536"/>
      <c r="AN671" s="595"/>
    </row>
    <row r="672" spans="1:42" s="549" customFormat="1" ht="12.75" customHeight="1">
      <c r="B672" s="536"/>
      <c r="C672" s="539"/>
      <c r="D672" s="659"/>
      <c r="E672" s="2486"/>
      <c r="F672" s="2486"/>
      <c r="G672" s="2486"/>
      <c r="H672" s="2486"/>
      <c r="I672" s="2486"/>
      <c r="J672" s="2486"/>
      <c r="K672" s="2486"/>
      <c r="L672" s="2486"/>
      <c r="M672" s="2486"/>
      <c r="N672" s="2486"/>
      <c r="O672" s="2486"/>
      <c r="P672" s="2486"/>
      <c r="Q672" s="2486"/>
      <c r="R672" s="2486"/>
      <c r="S672" s="2486"/>
      <c r="T672" s="2486"/>
      <c r="U672" s="2486"/>
      <c r="V672" s="2486"/>
      <c r="W672" s="2486"/>
      <c r="X672" s="2486"/>
      <c r="Y672" s="2486"/>
      <c r="Z672" s="2486"/>
      <c r="AA672" s="2486"/>
      <c r="AB672" s="2486"/>
      <c r="AC672" s="248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86" t="s">
        <v>1410</v>
      </c>
      <c r="F674" s="2486"/>
      <c r="G674" s="2486"/>
      <c r="H674" s="2486"/>
      <c r="I674" s="2486"/>
      <c r="J674" s="2486"/>
      <c r="K674" s="2486"/>
      <c r="L674" s="2486"/>
      <c r="M674" s="2486"/>
      <c r="N674" s="2486"/>
      <c r="O674" s="2486"/>
      <c r="P674" s="2486"/>
      <c r="Q674" s="2486"/>
      <c r="R674" s="2486"/>
      <c r="S674" s="2486"/>
      <c r="T674" s="2486"/>
      <c r="U674" s="2486"/>
      <c r="V674" s="2486"/>
      <c r="W674" s="2486"/>
      <c r="X674" s="2486"/>
      <c r="Y674" s="2486"/>
      <c r="Z674" s="2486"/>
      <c r="AA674" s="2486"/>
      <c r="AB674" s="2486"/>
      <c r="AC674" s="2486"/>
      <c r="AD674" s="536"/>
      <c r="AE674" s="536"/>
      <c r="AF674" s="2469" t="s">
        <v>1390</v>
      </c>
      <c r="AG674" s="2469"/>
      <c r="AH674" s="2469"/>
      <c r="AI674" s="2469"/>
      <c r="AJ674" s="2469"/>
      <c r="AK674" s="2469"/>
      <c r="AL674" s="2469"/>
      <c r="AN674" s="595"/>
    </row>
    <row r="675" spans="1:42" s="549" customFormat="1" ht="12.75" customHeight="1">
      <c r="B675" s="536"/>
      <c r="C675" s="539"/>
      <c r="D675" s="536"/>
      <c r="E675" s="2486"/>
      <c r="F675" s="2486"/>
      <c r="G675" s="2486"/>
      <c r="H675" s="2486"/>
      <c r="I675" s="2486"/>
      <c r="J675" s="2486"/>
      <c r="K675" s="2486"/>
      <c r="L675" s="2486"/>
      <c r="M675" s="2486"/>
      <c r="N675" s="2486"/>
      <c r="O675" s="2486"/>
      <c r="P675" s="2486"/>
      <c r="Q675" s="2486"/>
      <c r="R675" s="2486"/>
      <c r="S675" s="2486"/>
      <c r="T675" s="2486"/>
      <c r="U675" s="2486"/>
      <c r="V675" s="2486"/>
      <c r="W675" s="2486"/>
      <c r="X675" s="2486"/>
      <c r="Y675" s="2486"/>
      <c r="Z675" s="2486"/>
      <c r="AA675" s="2486"/>
      <c r="AB675" s="2486"/>
      <c r="AC675" s="2486"/>
      <c r="AD675" s="536"/>
      <c r="AE675" s="536"/>
      <c r="AF675" s="536"/>
      <c r="AG675" s="536"/>
      <c r="AH675" s="536"/>
      <c r="AI675" s="536"/>
      <c r="AJ675" s="536"/>
      <c r="AK675" s="536"/>
      <c r="AL675" s="536"/>
      <c r="AN675" s="595"/>
    </row>
    <row r="676" spans="1:42" s="549" customFormat="1" ht="15" customHeight="1">
      <c r="B676" s="536"/>
      <c r="C676" s="539"/>
      <c r="D676" s="659"/>
      <c r="E676" s="2486"/>
      <c r="F676" s="2486"/>
      <c r="G676" s="2486"/>
      <c r="H676" s="2486"/>
      <c r="I676" s="2486"/>
      <c r="J676" s="2486"/>
      <c r="K676" s="2486"/>
      <c r="L676" s="2486"/>
      <c r="M676" s="2486"/>
      <c r="N676" s="2486"/>
      <c r="O676" s="2486"/>
      <c r="P676" s="2486"/>
      <c r="Q676" s="2486"/>
      <c r="R676" s="2486"/>
      <c r="S676" s="2486"/>
      <c r="T676" s="2486"/>
      <c r="U676" s="2486"/>
      <c r="V676" s="2486"/>
      <c r="W676" s="2486"/>
      <c r="X676" s="2486"/>
      <c r="Y676" s="2486"/>
      <c r="Z676" s="2486"/>
      <c r="AA676" s="2486"/>
      <c r="AB676" s="2486"/>
      <c r="AC676" s="248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86" t="s">
        <v>1411</v>
      </c>
      <c r="F678" s="2486"/>
      <c r="G678" s="2486"/>
      <c r="H678" s="2486"/>
      <c r="I678" s="2486"/>
      <c r="J678" s="2486"/>
      <c r="K678" s="2486"/>
      <c r="L678" s="2486"/>
      <c r="M678" s="2486"/>
      <c r="N678" s="2486"/>
      <c r="O678" s="2486"/>
      <c r="P678" s="2486"/>
      <c r="Q678" s="2486"/>
      <c r="R678" s="2486"/>
      <c r="S678" s="2486"/>
      <c r="T678" s="2486"/>
      <c r="U678" s="2486"/>
      <c r="V678" s="2486"/>
      <c r="W678" s="2486"/>
      <c r="X678" s="2486"/>
      <c r="Y678" s="2486"/>
      <c r="Z678" s="2486"/>
      <c r="AA678" s="2486"/>
      <c r="AB678" s="2486"/>
      <c r="AC678" s="2486"/>
      <c r="AD678" s="536"/>
      <c r="AE678" s="536"/>
      <c r="AF678" s="2469" t="s">
        <v>1345</v>
      </c>
      <c r="AG678" s="2469"/>
      <c r="AH678" s="2469"/>
      <c r="AI678" s="2469"/>
      <c r="AJ678" s="2469"/>
      <c r="AK678" s="2469"/>
      <c r="AL678" s="2469"/>
      <c r="AN678" s="595"/>
    </row>
    <row r="679" spans="1:42" s="549" customFormat="1" ht="12.75" customHeight="1">
      <c r="B679" s="536"/>
      <c r="C679" s="927"/>
      <c r="D679" s="536"/>
      <c r="E679" s="2486"/>
      <c r="F679" s="2486"/>
      <c r="G679" s="2486"/>
      <c r="H679" s="2486"/>
      <c r="I679" s="2486"/>
      <c r="J679" s="2486"/>
      <c r="K679" s="2486"/>
      <c r="L679" s="2486"/>
      <c r="M679" s="2486"/>
      <c r="N679" s="2486"/>
      <c r="O679" s="2486"/>
      <c r="P679" s="2486"/>
      <c r="Q679" s="2486"/>
      <c r="R679" s="2486"/>
      <c r="S679" s="2486"/>
      <c r="T679" s="2486"/>
      <c r="U679" s="2486"/>
      <c r="V679" s="2486"/>
      <c r="W679" s="2486"/>
      <c r="X679" s="2486"/>
      <c r="Y679" s="2486"/>
      <c r="Z679" s="2486"/>
      <c r="AA679" s="2486"/>
      <c r="AB679" s="2486"/>
      <c r="AC679" s="2486"/>
      <c r="AD679" s="536"/>
      <c r="AE679" s="2469"/>
      <c r="AF679" s="2469"/>
      <c r="AG679" s="2469"/>
      <c r="AH679" s="2469"/>
      <c r="AI679" s="2469"/>
      <c r="AJ679" s="2469"/>
      <c r="AK679" s="2469"/>
      <c r="AL679" s="592"/>
      <c r="AN679" s="595"/>
      <c r="AO679" s="549" t="s">
        <v>591</v>
      </c>
      <c r="AP679" s="669">
        <v>0</v>
      </c>
    </row>
    <row r="680" spans="1:42" s="549" customFormat="1" ht="12.75" customHeight="1">
      <c r="A680" s="675"/>
      <c r="B680" s="536"/>
      <c r="C680" s="536"/>
      <c r="D680" s="659"/>
      <c r="E680" s="2486"/>
      <c r="F680" s="2486"/>
      <c r="G680" s="2486"/>
      <c r="H680" s="2486"/>
      <c r="I680" s="2486"/>
      <c r="J680" s="2486"/>
      <c r="K680" s="2486"/>
      <c r="L680" s="2486"/>
      <c r="M680" s="2486"/>
      <c r="N680" s="2486"/>
      <c r="O680" s="2486"/>
      <c r="P680" s="2486"/>
      <c r="Q680" s="2486"/>
      <c r="R680" s="2486"/>
      <c r="S680" s="2486"/>
      <c r="T680" s="2486"/>
      <c r="U680" s="2486"/>
      <c r="V680" s="2486"/>
      <c r="W680" s="2486"/>
      <c r="X680" s="2486"/>
      <c r="Y680" s="2486"/>
      <c r="Z680" s="2486"/>
      <c r="AA680" s="2486"/>
      <c r="AB680" s="2486"/>
      <c r="AC680" s="2486"/>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1388</v>
      </c>
      <c r="E682" s="2486" t="s">
        <v>1412</v>
      </c>
      <c r="F682" s="2486"/>
      <c r="G682" s="2486"/>
      <c r="H682" s="2486"/>
      <c r="I682" s="2486"/>
      <c r="J682" s="2486"/>
      <c r="K682" s="2486"/>
      <c r="L682" s="2486"/>
      <c r="M682" s="2486"/>
      <c r="N682" s="2486"/>
      <c r="O682" s="2486"/>
      <c r="P682" s="2486"/>
      <c r="Q682" s="2486"/>
      <c r="R682" s="2486"/>
      <c r="S682" s="2486"/>
      <c r="T682" s="2486"/>
      <c r="U682" s="2486"/>
      <c r="V682" s="2486"/>
      <c r="W682" s="2486"/>
      <c r="X682" s="2486"/>
      <c r="Y682" s="2486"/>
      <c r="Z682" s="2486"/>
      <c r="AA682" s="2486"/>
      <c r="AB682" s="2486"/>
      <c r="AC682" s="2486"/>
      <c r="AD682" s="536"/>
      <c r="AE682" s="536"/>
      <c r="AF682" s="2469" t="s">
        <v>1390</v>
      </c>
      <c r="AG682" s="2469"/>
      <c r="AH682" s="2469"/>
      <c r="AI682" s="2469"/>
      <c r="AJ682" s="2469"/>
      <c r="AK682" s="2469"/>
      <c r="AL682" s="2469"/>
      <c r="AN682" s="595"/>
    </row>
    <row r="683" spans="1:42" s="549" customFormat="1" ht="12.75" customHeight="1">
      <c r="A683" s="666"/>
      <c r="B683" s="536"/>
      <c r="C683" s="943"/>
      <c r="D683" s="659"/>
      <c r="E683" s="2486"/>
      <c r="F683" s="2486"/>
      <c r="G683" s="2486"/>
      <c r="H683" s="2486"/>
      <c r="I683" s="2486"/>
      <c r="J683" s="2486"/>
      <c r="K683" s="2486"/>
      <c r="L683" s="2486"/>
      <c r="M683" s="2486"/>
      <c r="N683" s="2486"/>
      <c r="O683" s="2486"/>
      <c r="P683" s="2486"/>
      <c r="Q683" s="2486"/>
      <c r="R683" s="2486"/>
      <c r="S683" s="2486"/>
      <c r="T683" s="2486"/>
      <c r="U683" s="2486"/>
      <c r="V683" s="2486"/>
      <c r="W683" s="2486"/>
      <c r="X683" s="2486"/>
      <c r="Y683" s="2486"/>
      <c r="Z683" s="2486"/>
      <c r="AA683" s="2486"/>
      <c r="AB683" s="2486"/>
      <c r="AC683" s="248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86"/>
      <c r="F684" s="2486"/>
      <c r="G684" s="2486"/>
      <c r="H684" s="2486"/>
      <c r="I684" s="2486"/>
      <c r="J684" s="2486"/>
      <c r="K684" s="2486"/>
      <c r="L684" s="2486"/>
      <c r="M684" s="2486"/>
      <c r="N684" s="2486"/>
      <c r="O684" s="2486"/>
      <c r="P684" s="2486"/>
      <c r="Q684" s="2486"/>
      <c r="R684" s="2486"/>
      <c r="S684" s="2486"/>
      <c r="T684" s="2486"/>
      <c r="U684" s="2486"/>
      <c r="V684" s="2486"/>
      <c r="W684" s="2486"/>
      <c r="X684" s="2486"/>
      <c r="Y684" s="2486"/>
      <c r="Z684" s="2486"/>
      <c r="AA684" s="2486"/>
      <c r="AB684" s="2486"/>
      <c r="AC684" s="248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86" t="s">
        <v>1413</v>
      </c>
      <c r="F686" s="2486"/>
      <c r="G686" s="2486"/>
      <c r="H686" s="2486"/>
      <c r="I686" s="2486"/>
      <c r="J686" s="2486"/>
      <c r="K686" s="2486"/>
      <c r="L686" s="2486"/>
      <c r="M686" s="2486"/>
      <c r="N686" s="2486"/>
      <c r="O686" s="2486"/>
      <c r="P686" s="2486"/>
      <c r="Q686" s="2486"/>
      <c r="R686" s="2486"/>
      <c r="S686" s="2486"/>
      <c r="T686" s="2486"/>
      <c r="U686" s="2486"/>
      <c r="V686" s="2486"/>
      <c r="W686" s="2486"/>
      <c r="X686" s="2486"/>
      <c r="Y686" s="2486"/>
      <c r="Z686" s="2486"/>
      <c r="AA686" s="2486"/>
      <c r="AB686" s="2486"/>
      <c r="AC686" s="2486"/>
      <c r="AD686" s="536"/>
      <c r="AE686" s="536"/>
      <c r="AF686" s="2469" t="s">
        <v>1345</v>
      </c>
      <c r="AG686" s="2469"/>
      <c r="AH686" s="2469"/>
      <c r="AI686" s="2469"/>
      <c r="AJ686" s="2469"/>
      <c r="AK686" s="2469"/>
      <c r="AL686" s="2469"/>
      <c r="AM686" s="594"/>
      <c r="AN686" s="595"/>
    </row>
    <row r="687" spans="1:42" s="549" customFormat="1" ht="12.75" customHeight="1">
      <c r="B687" s="536"/>
      <c r="C687" s="927"/>
      <c r="D687" s="659"/>
      <c r="E687" s="2486"/>
      <c r="F687" s="2486"/>
      <c r="G687" s="2486"/>
      <c r="H687" s="2486"/>
      <c r="I687" s="2486"/>
      <c r="J687" s="2486"/>
      <c r="K687" s="2486"/>
      <c r="L687" s="2486"/>
      <c r="M687" s="2486"/>
      <c r="N687" s="2486"/>
      <c r="O687" s="2486"/>
      <c r="P687" s="2486"/>
      <c r="Q687" s="2486"/>
      <c r="R687" s="2486"/>
      <c r="S687" s="2486"/>
      <c r="T687" s="2486"/>
      <c r="U687" s="2486"/>
      <c r="V687" s="2486"/>
      <c r="W687" s="2486"/>
      <c r="X687" s="2486"/>
      <c r="Y687" s="2486"/>
      <c r="Z687" s="2486"/>
      <c r="AA687" s="2486"/>
      <c r="AB687" s="2486"/>
      <c r="AC687" s="2486"/>
      <c r="AD687" s="536"/>
      <c r="AE687" s="536"/>
      <c r="AF687" s="536"/>
      <c r="AG687" s="536"/>
      <c r="AH687" s="536"/>
      <c r="AI687" s="536"/>
      <c r="AJ687" s="536"/>
      <c r="AK687" s="536"/>
      <c r="AL687" s="536"/>
      <c r="AM687" s="594"/>
      <c r="AN687" s="595"/>
    </row>
    <row r="688" spans="1:42" s="549" customFormat="1" ht="12.75" customHeight="1">
      <c r="B688" s="536"/>
      <c r="C688" s="927"/>
      <c r="D688" s="659"/>
      <c r="E688" s="2486"/>
      <c r="F688" s="2486"/>
      <c r="G688" s="2486"/>
      <c r="H688" s="2486"/>
      <c r="I688" s="2486"/>
      <c r="J688" s="2486"/>
      <c r="K688" s="2486"/>
      <c r="L688" s="2486"/>
      <c r="M688" s="2486"/>
      <c r="N688" s="2486"/>
      <c r="O688" s="2486"/>
      <c r="P688" s="2486"/>
      <c r="Q688" s="2486"/>
      <c r="R688" s="2486"/>
      <c r="S688" s="2486"/>
      <c r="T688" s="2486"/>
      <c r="U688" s="2486"/>
      <c r="V688" s="2486"/>
      <c r="W688" s="2486"/>
      <c r="X688" s="2486"/>
      <c r="Y688" s="2486"/>
      <c r="Z688" s="2486"/>
      <c r="AA688" s="2486"/>
      <c r="AB688" s="2486"/>
      <c r="AC688" s="248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86" t="s">
        <v>1414</v>
      </c>
      <c r="F690" s="2486"/>
      <c r="G690" s="2486"/>
      <c r="H690" s="2486"/>
      <c r="I690" s="2486"/>
      <c r="J690" s="2486"/>
      <c r="K690" s="2486"/>
      <c r="L690" s="2486"/>
      <c r="M690" s="2486"/>
      <c r="N690" s="2486"/>
      <c r="O690" s="2486"/>
      <c r="P690" s="2486"/>
      <c r="Q690" s="2486"/>
      <c r="R690" s="2486"/>
      <c r="S690" s="2486"/>
      <c r="T690" s="2486"/>
      <c r="U690" s="2486"/>
      <c r="V690" s="2486"/>
      <c r="W690" s="2486"/>
      <c r="X690" s="2486"/>
      <c r="Y690" s="2486"/>
      <c r="Z690" s="2486"/>
      <c r="AA690" s="2486"/>
      <c r="AB690" s="2486"/>
      <c r="AC690" s="2486"/>
      <c r="AD690" s="536"/>
      <c r="AE690" s="536"/>
      <c r="AF690" s="2469" t="s">
        <v>1399</v>
      </c>
      <c r="AG690" s="2469"/>
      <c r="AH690" s="2469"/>
      <c r="AI690" s="2469"/>
      <c r="AJ690" s="2469"/>
      <c r="AK690" s="2469"/>
      <c r="AL690" s="2469"/>
      <c r="AM690" s="594"/>
      <c r="AN690" s="595"/>
    </row>
    <row r="691" spans="1:50" s="549" customFormat="1" ht="12.75" customHeight="1">
      <c r="A691" s="675"/>
      <c r="B691" s="536"/>
      <c r="C691" s="927"/>
      <c r="D691" s="659"/>
      <c r="E691" s="2486"/>
      <c r="F691" s="2486"/>
      <c r="G691" s="2486"/>
      <c r="H691" s="2486"/>
      <c r="I691" s="2486"/>
      <c r="J691" s="2486"/>
      <c r="K691" s="2486"/>
      <c r="L691" s="2486"/>
      <c r="M691" s="2486"/>
      <c r="N691" s="2486"/>
      <c r="O691" s="2486"/>
      <c r="P691" s="2486"/>
      <c r="Q691" s="2486"/>
      <c r="R691" s="2486"/>
      <c r="S691" s="2486"/>
      <c r="T691" s="2486"/>
      <c r="U691" s="2486"/>
      <c r="V691" s="2486"/>
      <c r="W691" s="2486"/>
      <c r="X691" s="2486"/>
      <c r="Y691" s="2486"/>
      <c r="Z691" s="2486"/>
      <c r="AA691" s="2486"/>
      <c r="AB691" s="2486"/>
      <c r="AC691" s="248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86"/>
      <c r="F692" s="2486"/>
      <c r="G692" s="2486"/>
      <c r="H692" s="2486"/>
      <c r="I692" s="2486"/>
      <c r="J692" s="2486"/>
      <c r="K692" s="2486"/>
      <c r="L692" s="2486"/>
      <c r="M692" s="2486"/>
      <c r="N692" s="2486"/>
      <c r="O692" s="2486"/>
      <c r="P692" s="2486"/>
      <c r="Q692" s="2486"/>
      <c r="R692" s="2486"/>
      <c r="S692" s="2486"/>
      <c r="T692" s="2486"/>
      <c r="U692" s="2486"/>
      <c r="V692" s="2486"/>
      <c r="W692" s="2486"/>
      <c r="X692" s="2486"/>
      <c r="Y692" s="2486"/>
      <c r="Z692" s="2486"/>
      <c r="AA692" s="2486"/>
      <c r="AB692" s="2486"/>
      <c r="AC692" s="248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1402</v>
      </c>
      <c r="E694" s="2486" t="s">
        <v>1415</v>
      </c>
      <c r="F694" s="2486"/>
      <c r="G694" s="2486"/>
      <c r="H694" s="2486"/>
      <c r="I694" s="2486"/>
      <c r="J694" s="2486"/>
      <c r="K694" s="2486"/>
      <c r="L694" s="2486"/>
      <c r="M694" s="2486"/>
      <c r="N694" s="2486"/>
      <c r="O694" s="2486"/>
      <c r="P694" s="2486"/>
      <c r="Q694" s="2486"/>
      <c r="R694" s="2486"/>
      <c r="S694" s="2486"/>
      <c r="T694" s="2486"/>
      <c r="U694" s="2486"/>
      <c r="V694" s="2486"/>
      <c r="W694" s="2486"/>
      <c r="X694" s="2486"/>
      <c r="Y694" s="2486"/>
      <c r="Z694" s="2486"/>
      <c r="AA694" s="2486"/>
      <c r="AB694" s="2486"/>
      <c r="AC694" s="2486"/>
      <c r="AD694" s="536"/>
      <c r="AE694" s="536"/>
      <c r="AF694" s="2469" t="s">
        <v>1416</v>
      </c>
      <c r="AG694" s="2469"/>
      <c r="AH694" s="2469"/>
      <c r="AI694" s="2469"/>
      <c r="AJ694" s="2469"/>
      <c r="AK694" s="2469"/>
      <c r="AL694" s="2469"/>
      <c r="AM694" s="594"/>
      <c r="AN694" s="595"/>
      <c r="AO694" s="609" t="s">
        <v>687</v>
      </c>
      <c r="AP694" s="549">
        <v>3</v>
      </c>
    </row>
    <row r="695" spans="1:50" s="549" customFormat="1" ht="12.75" customHeight="1">
      <c r="A695" s="675"/>
      <c r="B695" s="536"/>
      <c r="C695" s="927"/>
      <c r="D695" s="659"/>
      <c r="E695" s="2486"/>
      <c r="F695" s="2486"/>
      <c r="G695" s="2486"/>
      <c r="H695" s="2486"/>
      <c r="I695" s="2486"/>
      <c r="J695" s="2486"/>
      <c r="K695" s="2486"/>
      <c r="L695" s="2486"/>
      <c r="M695" s="2486"/>
      <c r="N695" s="2486"/>
      <c r="O695" s="2486"/>
      <c r="P695" s="2486"/>
      <c r="Q695" s="2486"/>
      <c r="R695" s="2486"/>
      <c r="S695" s="2486"/>
      <c r="T695" s="2486"/>
      <c r="U695" s="2486"/>
      <c r="V695" s="2486"/>
      <c r="W695" s="2486"/>
      <c r="X695" s="2486"/>
      <c r="Y695" s="2486"/>
      <c r="Z695" s="2486"/>
      <c r="AA695" s="2486"/>
      <c r="AB695" s="2486"/>
      <c r="AC695" s="2486"/>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86"/>
      <c r="F696" s="2486"/>
      <c r="G696" s="2486"/>
      <c r="H696" s="2486"/>
      <c r="I696" s="2486"/>
      <c r="J696" s="2486"/>
      <c r="K696" s="2486"/>
      <c r="L696" s="2486"/>
      <c r="M696" s="2486"/>
      <c r="N696" s="2486"/>
      <c r="O696" s="2486"/>
      <c r="P696" s="2486"/>
      <c r="Q696" s="2486"/>
      <c r="R696" s="2486"/>
      <c r="S696" s="2486"/>
      <c r="T696" s="2486"/>
      <c r="U696" s="2486"/>
      <c r="V696" s="2486"/>
      <c r="W696" s="2486"/>
      <c r="X696" s="2486"/>
      <c r="Y696" s="2486"/>
      <c r="Z696" s="2486"/>
      <c r="AA696" s="2486"/>
      <c r="AB696" s="2486"/>
      <c r="AC696" s="248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49" t="s">
        <v>509</v>
      </c>
      <c r="I698" s="2549"/>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94">
        <f>VLOOKUP($H$698,$AO$646:$AP$653,2,FALSE)</f>
        <v>4</v>
      </c>
      <c r="AK700" s="2496"/>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93</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93</v>
      </c>
    </row>
    <row r="704" spans="1:50" s="549" customFormat="1" ht="12.75" customHeight="1">
      <c r="A704" s="675"/>
      <c r="B704" s="536"/>
      <c r="C704" s="944"/>
      <c r="D704" s="659" t="s">
        <v>687</v>
      </c>
      <c r="E704" s="2556" t="s">
        <v>2142</v>
      </c>
      <c r="F704" s="2556"/>
      <c r="G704" s="2556"/>
      <c r="H704" s="2556"/>
      <c r="I704" s="2556"/>
      <c r="J704" s="2556"/>
      <c r="K704" s="2556"/>
      <c r="L704" s="2556"/>
      <c r="M704" s="2556"/>
      <c r="N704" s="2556"/>
      <c r="O704" s="2556"/>
      <c r="P704" s="2556"/>
      <c r="Q704" s="2556"/>
      <c r="R704" s="2556"/>
      <c r="S704" s="2556"/>
      <c r="T704" s="2556"/>
      <c r="U704" s="2556"/>
      <c r="V704" s="2556"/>
      <c r="W704" s="2556"/>
      <c r="X704" s="2556"/>
      <c r="Y704" s="2556"/>
      <c r="Z704" s="2556"/>
      <c r="AA704" s="2556"/>
      <c r="AB704" s="2556"/>
      <c r="AC704" s="536"/>
      <c r="AD704" s="536"/>
      <c r="AE704" s="536"/>
      <c r="AF704" s="2469" t="s">
        <v>1345</v>
      </c>
      <c r="AG704" s="2469"/>
      <c r="AH704" s="2469"/>
      <c r="AI704" s="2469"/>
      <c r="AJ704" s="2469"/>
      <c r="AK704" s="2469"/>
      <c r="AL704" s="2469"/>
      <c r="AN704" s="595"/>
      <c r="AW704" s="22" t="s">
        <v>2137</v>
      </c>
      <c r="AX704" s="549">
        <f>Application!DE761</f>
        <v>0</v>
      </c>
    </row>
    <row r="705" spans="1:51" s="549" customFormat="1" ht="12.75" customHeight="1">
      <c r="A705" s="675"/>
      <c r="B705" s="536"/>
      <c r="C705" s="944"/>
      <c r="D705" s="659"/>
      <c r="E705" s="2556"/>
      <c r="F705" s="2556"/>
      <c r="G705" s="2556"/>
      <c r="H705" s="2556"/>
      <c r="I705" s="2556"/>
      <c r="J705" s="2556"/>
      <c r="K705" s="2556"/>
      <c r="L705" s="2556"/>
      <c r="M705" s="2556"/>
      <c r="N705" s="2556"/>
      <c r="O705" s="2556"/>
      <c r="P705" s="2556"/>
      <c r="Q705" s="2556"/>
      <c r="R705" s="2556"/>
      <c r="S705" s="2556"/>
      <c r="T705" s="2556"/>
      <c r="U705" s="2556"/>
      <c r="V705" s="2556"/>
      <c r="W705" s="2556"/>
      <c r="X705" s="2556"/>
      <c r="Y705" s="2556"/>
      <c r="Z705" s="2556"/>
      <c r="AA705" s="2556"/>
      <c r="AB705" s="2556"/>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509</v>
      </c>
      <c r="E707" s="2486" t="s">
        <v>2087</v>
      </c>
      <c r="F707" s="2486"/>
      <c r="G707" s="2486"/>
      <c r="H707" s="2486"/>
      <c r="I707" s="2486"/>
      <c r="J707" s="2486"/>
      <c r="K707" s="2486"/>
      <c r="L707" s="2486"/>
      <c r="M707" s="2486"/>
      <c r="N707" s="2486"/>
      <c r="O707" s="2486"/>
      <c r="P707" s="2486"/>
      <c r="Q707" s="2486"/>
      <c r="R707" s="2486"/>
      <c r="S707" s="2486"/>
      <c r="T707" s="2486"/>
      <c r="U707" s="2486"/>
      <c r="V707" s="2486"/>
      <c r="W707" s="2486"/>
      <c r="X707" s="2486"/>
      <c r="Y707" s="2486"/>
      <c r="Z707" s="2486"/>
      <c r="AA707" s="2486"/>
      <c r="AB707" s="2486"/>
      <c r="AC707" s="536"/>
      <c r="AD707" s="536"/>
      <c r="AE707" s="536"/>
      <c r="AF707" s="2469" t="s">
        <v>1345</v>
      </c>
      <c r="AG707" s="2469"/>
      <c r="AH707" s="2469"/>
      <c r="AI707" s="2469"/>
      <c r="AJ707" s="2469"/>
      <c r="AK707" s="2469"/>
      <c r="AL707" s="2469"/>
      <c r="AN707" s="595"/>
      <c r="AW707" s="22" t="s">
        <v>2140</v>
      </c>
      <c r="AX707" s="549">
        <f>AX704+AX705+AX706</f>
        <v>0</v>
      </c>
    </row>
    <row r="708" spans="1:51" s="549" customFormat="1" ht="12.75" customHeight="1">
      <c r="B708" s="536"/>
      <c r="C708" s="936"/>
      <c r="D708" s="659"/>
      <c r="E708" s="2486"/>
      <c r="F708" s="2486"/>
      <c r="G708" s="2486"/>
      <c r="H708" s="2486"/>
      <c r="I708" s="2486"/>
      <c r="J708" s="2486"/>
      <c r="K708" s="2486"/>
      <c r="L708" s="2486"/>
      <c r="M708" s="2486"/>
      <c r="N708" s="2486"/>
      <c r="O708" s="2486"/>
      <c r="P708" s="2486"/>
      <c r="Q708" s="2486"/>
      <c r="R708" s="2486"/>
      <c r="S708" s="2486"/>
      <c r="T708" s="2486"/>
      <c r="U708" s="2486"/>
      <c r="V708" s="2486"/>
      <c r="W708" s="2486"/>
      <c r="X708" s="2486"/>
      <c r="Y708" s="2486"/>
      <c r="Z708" s="2486"/>
      <c r="AA708" s="2486"/>
      <c r="AB708" s="2486"/>
      <c r="AC708" s="536"/>
      <c r="AD708" s="536"/>
      <c r="AE708" s="614"/>
      <c r="AF708" s="536"/>
      <c r="AG708" s="536"/>
      <c r="AH708" s="536"/>
      <c r="AI708" s="536"/>
      <c r="AJ708" s="536"/>
      <c r="AK708" s="536"/>
      <c r="AL708" s="536"/>
      <c r="AN708" s="595"/>
      <c r="AO708" s="2555" t="b">
        <f>IF(Application!D211="Special Needs",IF(AY708&gt;=0.25,TRUE,FALSE),IF(AX708&gt;=0.25,TRUE,FALSE))</f>
        <v>0</v>
      </c>
      <c r="AP708" s="2555"/>
      <c r="AW708" s="22" t="s">
        <v>2141</v>
      </c>
      <c r="AX708" s="549">
        <f>IFERROR(AX707/AX703,0)</f>
        <v>0</v>
      </c>
      <c r="AY708" s="549">
        <f>IFERROR(AX707/(AX703-AX702),0)</f>
        <v>0</v>
      </c>
    </row>
    <row r="709" spans="1:51" s="549" customFormat="1" ht="12.75" customHeight="1">
      <c r="B709" s="536"/>
      <c r="C709" s="936"/>
      <c r="E709" s="2486"/>
      <c r="F709" s="2486"/>
      <c r="G709" s="2486"/>
      <c r="H709" s="2486"/>
      <c r="I709" s="2486"/>
      <c r="J709" s="2486"/>
      <c r="K709" s="2486"/>
      <c r="L709" s="2486"/>
      <c r="M709" s="2486"/>
      <c r="N709" s="2486"/>
      <c r="O709" s="2486"/>
      <c r="P709" s="2486"/>
      <c r="Q709" s="2486"/>
      <c r="R709" s="2486"/>
      <c r="S709" s="2486"/>
      <c r="T709" s="2486"/>
      <c r="U709" s="2486"/>
      <c r="V709" s="2486"/>
      <c r="W709" s="2486"/>
      <c r="X709" s="2486"/>
      <c r="Y709" s="2486"/>
      <c r="Z709" s="2486"/>
      <c r="AA709" s="2486"/>
      <c r="AB709" s="2486"/>
      <c r="AC709" s="536"/>
      <c r="AD709" s="536"/>
      <c r="AE709" s="614"/>
      <c r="AF709" s="614"/>
      <c r="AG709" s="614"/>
      <c r="AH709" s="614"/>
      <c r="AI709" s="614"/>
      <c r="AJ709" s="614"/>
      <c r="AK709" s="614"/>
      <c r="AL709" s="614"/>
      <c r="AN709" s="595"/>
      <c r="AW709" s="14"/>
    </row>
    <row r="710" spans="1:51" s="549" customFormat="1" ht="28.5" customHeight="1">
      <c r="B710" s="536"/>
      <c r="C710" s="936"/>
      <c r="D710" s="536"/>
      <c r="E710" s="2486"/>
      <c r="F710" s="2486"/>
      <c r="G710" s="2486"/>
      <c r="H710" s="2486"/>
      <c r="I710" s="2486"/>
      <c r="J710" s="2486"/>
      <c r="K710" s="2486"/>
      <c r="L710" s="2486"/>
      <c r="M710" s="2486"/>
      <c r="N710" s="2486"/>
      <c r="O710" s="2486"/>
      <c r="P710" s="2486"/>
      <c r="Q710" s="2486"/>
      <c r="R710" s="2486"/>
      <c r="S710" s="2486"/>
      <c r="T710" s="2486"/>
      <c r="U710" s="2486"/>
      <c r="V710" s="2486"/>
      <c r="W710" s="2486"/>
      <c r="X710" s="2486"/>
      <c r="Y710" s="2486"/>
      <c r="Z710" s="2486"/>
      <c r="AA710" s="2486"/>
      <c r="AB710" s="2486"/>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86" t="s">
        <v>2088</v>
      </c>
      <c r="F712" s="2486"/>
      <c r="G712" s="2486"/>
      <c r="H712" s="2486"/>
      <c r="I712" s="2486"/>
      <c r="J712" s="2486"/>
      <c r="K712" s="2486"/>
      <c r="L712" s="2486"/>
      <c r="M712" s="2486"/>
      <c r="N712" s="2486"/>
      <c r="O712" s="2486"/>
      <c r="P712" s="2486"/>
      <c r="Q712" s="2486"/>
      <c r="R712" s="2486"/>
      <c r="S712" s="2486"/>
      <c r="T712" s="2486"/>
      <c r="U712" s="2486"/>
      <c r="V712" s="2486"/>
      <c r="W712" s="2486"/>
      <c r="X712" s="2486"/>
      <c r="Y712" s="2486"/>
      <c r="Z712" s="2486"/>
      <c r="AA712" s="2486"/>
      <c r="AB712" s="2486"/>
      <c r="AC712" s="536"/>
      <c r="AD712" s="536"/>
      <c r="AE712" s="536"/>
      <c r="AF712" s="2469" t="s">
        <v>1399</v>
      </c>
      <c r="AG712" s="2469"/>
      <c r="AH712" s="2469"/>
      <c r="AI712" s="2469"/>
      <c r="AJ712" s="2469"/>
      <c r="AK712" s="2469"/>
      <c r="AL712" s="2469"/>
      <c r="AN712" s="595"/>
      <c r="AO712" s="609" t="s">
        <v>509</v>
      </c>
      <c r="AP712" s="549">
        <v>1</v>
      </c>
    </row>
    <row r="713" spans="1:51" s="549" customFormat="1" ht="12" customHeight="1">
      <c r="B713" s="536"/>
      <c r="C713" s="927"/>
      <c r="E713" s="2486"/>
      <c r="F713" s="2486"/>
      <c r="G713" s="2486"/>
      <c r="H713" s="2486"/>
      <c r="I713" s="2486"/>
      <c r="J713" s="2486"/>
      <c r="K713" s="2486"/>
      <c r="L713" s="2486"/>
      <c r="M713" s="2486"/>
      <c r="N713" s="2486"/>
      <c r="O713" s="2486"/>
      <c r="P713" s="2486"/>
      <c r="Q713" s="2486"/>
      <c r="R713" s="2486"/>
      <c r="S713" s="2486"/>
      <c r="T713" s="2486"/>
      <c r="U713" s="2486"/>
      <c r="V713" s="2486"/>
      <c r="W713" s="2486"/>
      <c r="X713" s="2486"/>
      <c r="Y713" s="2486"/>
      <c r="Z713" s="2486"/>
      <c r="AA713" s="2486"/>
      <c r="AB713" s="2486"/>
      <c r="AC713" s="536"/>
      <c r="AD713" s="536"/>
      <c r="AE713" s="614"/>
      <c r="AF713" s="536"/>
      <c r="AG713" s="536"/>
      <c r="AH713" s="536"/>
      <c r="AI713" s="536"/>
      <c r="AJ713" s="536"/>
      <c r="AK713" s="536"/>
      <c r="AL713" s="536"/>
      <c r="AN713" s="595"/>
    </row>
    <row r="714" spans="1:51" s="549" customFormat="1" ht="12" customHeight="1">
      <c r="B714" s="536"/>
      <c r="C714" s="927"/>
      <c r="D714" s="536"/>
      <c r="E714" s="2486"/>
      <c r="F714" s="2486"/>
      <c r="G714" s="2486"/>
      <c r="H714" s="2486"/>
      <c r="I714" s="2486"/>
      <c r="J714" s="2486"/>
      <c r="K714" s="2486"/>
      <c r="L714" s="2486"/>
      <c r="M714" s="2486"/>
      <c r="N714" s="2486"/>
      <c r="O714" s="2486"/>
      <c r="P714" s="2486"/>
      <c r="Q714" s="2486"/>
      <c r="R714" s="2486"/>
      <c r="S714" s="2486"/>
      <c r="T714" s="2486"/>
      <c r="U714" s="2486"/>
      <c r="V714" s="2486"/>
      <c r="W714" s="2486"/>
      <c r="X714" s="2486"/>
      <c r="Y714" s="2486"/>
      <c r="Z714" s="2486"/>
      <c r="AA714" s="2486"/>
      <c r="AB714" s="2486"/>
      <c r="AC714" s="536"/>
      <c r="AD714" s="536"/>
      <c r="AE714" s="614"/>
      <c r="AF714" s="536"/>
      <c r="AG714" s="536"/>
      <c r="AH714" s="536"/>
      <c r="AI714" s="536"/>
      <c r="AJ714" s="536"/>
      <c r="AK714" s="536"/>
      <c r="AL714" s="536"/>
      <c r="AN714" s="595"/>
    </row>
    <row r="715" spans="1:51" s="549" customFormat="1" ht="12" customHeight="1">
      <c r="B715" s="536"/>
      <c r="C715" s="927"/>
      <c r="D715" s="536"/>
      <c r="E715" s="2486"/>
      <c r="F715" s="2486"/>
      <c r="G715" s="2486"/>
      <c r="H715" s="2486"/>
      <c r="I715" s="2486"/>
      <c r="J715" s="2486"/>
      <c r="K715" s="2486"/>
      <c r="L715" s="2486"/>
      <c r="M715" s="2486"/>
      <c r="N715" s="2486"/>
      <c r="O715" s="2486"/>
      <c r="P715" s="2486"/>
      <c r="Q715" s="2486"/>
      <c r="R715" s="2486"/>
      <c r="S715" s="2486"/>
      <c r="T715" s="2486"/>
      <c r="U715" s="2486"/>
      <c r="V715" s="2486"/>
      <c r="W715" s="2486"/>
      <c r="X715" s="2486"/>
      <c r="Y715" s="2486"/>
      <c r="Z715" s="2486"/>
      <c r="AA715" s="2486"/>
      <c r="AB715" s="2486"/>
      <c r="AC715" s="536"/>
      <c r="AD715" s="536"/>
      <c r="AE715" s="614"/>
      <c r="AF715" s="536"/>
      <c r="AG715" s="536"/>
      <c r="AH715" s="536"/>
      <c r="AI715" s="536"/>
      <c r="AJ715" s="536"/>
      <c r="AK715" s="536"/>
      <c r="AL715" s="536"/>
      <c r="AN715" s="595"/>
    </row>
    <row r="716" spans="1:51" s="568" customFormat="1" ht="12.9" customHeight="1">
      <c r="A716" s="549"/>
      <c r="B716" s="536"/>
      <c r="C716" s="927"/>
      <c r="D716" s="536"/>
      <c r="E716" s="2486"/>
      <c r="F716" s="2486"/>
      <c r="G716" s="2486"/>
      <c r="H716" s="2486"/>
      <c r="I716" s="2486"/>
      <c r="J716" s="2486"/>
      <c r="K716" s="2486"/>
      <c r="L716" s="2486"/>
      <c r="M716" s="2486"/>
      <c r="N716" s="2486"/>
      <c r="O716" s="2486"/>
      <c r="P716" s="2486"/>
      <c r="Q716" s="2486"/>
      <c r="R716" s="2486"/>
      <c r="S716" s="2486"/>
      <c r="T716" s="2486"/>
      <c r="U716" s="2486"/>
      <c r="V716" s="2486"/>
      <c r="W716" s="2486"/>
      <c r="X716" s="2486"/>
      <c r="Y716" s="2486"/>
      <c r="Z716" s="2486"/>
      <c r="AA716" s="2486"/>
      <c r="AB716" s="2486"/>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86" t="s">
        <v>1681</v>
      </c>
      <c r="F718" s="2486"/>
      <c r="G718" s="2486"/>
      <c r="H718" s="2486"/>
      <c r="I718" s="2486"/>
      <c r="J718" s="2486"/>
      <c r="K718" s="2486"/>
      <c r="L718" s="2486"/>
      <c r="M718" s="2486"/>
      <c r="N718" s="2486"/>
      <c r="O718" s="2486"/>
      <c r="P718" s="2486"/>
      <c r="Q718" s="2486"/>
      <c r="R718" s="2486"/>
      <c r="S718" s="2486"/>
      <c r="T718" s="2486"/>
      <c r="U718" s="2486"/>
      <c r="V718" s="2486"/>
      <c r="W718" s="2486"/>
      <c r="X718" s="2486"/>
      <c r="Y718" s="2486"/>
      <c r="Z718" s="2486"/>
      <c r="AA718" s="2486"/>
      <c r="AB718" s="2486"/>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86"/>
      <c r="F719" s="2486"/>
      <c r="G719" s="2486"/>
      <c r="H719" s="2486"/>
      <c r="I719" s="2486"/>
      <c r="J719" s="2486"/>
      <c r="K719" s="2486"/>
      <c r="L719" s="2486"/>
      <c r="M719" s="2486"/>
      <c r="N719" s="2486"/>
      <c r="O719" s="2486"/>
      <c r="P719" s="2486"/>
      <c r="Q719" s="2486"/>
      <c r="R719" s="2486"/>
      <c r="S719" s="2486"/>
      <c r="T719" s="2486"/>
      <c r="U719" s="2486"/>
      <c r="V719" s="2486"/>
      <c r="W719" s="2486"/>
      <c r="X719" s="2486"/>
      <c r="Y719" s="2486"/>
      <c r="Z719" s="2486"/>
      <c r="AA719" s="2486"/>
      <c r="AB719" s="2486"/>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86"/>
      <c r="F720" s="2486"/>
      <c r="G720" s="2486"/>
      <c r="H720" s="2486"/>
      <c r="I720" s="2486"/>
      <c r="J720" s="2486"/>
      <c r="K720" s="2486"/>
      <c r="L720" s="2486"/>
      <c r="M720" s="2486"/>
      <c r="N720" s="2486"/>
      <c r="O720" s="2486"/>
      <c r="P720" s="2486"/>
      <c r="Q720" s="2486"/>
      <c r="R720" s="2486"/>
      <c r="S720" s="2486"/>
      <c r="T720" s="2486"/>
      <c r="U720" s="2486"/>
      <c r="V720" s="2486"/>
      <c r="W720" s="2486"/>
      <c r="X720" s="2486"/>
      <c r="Y720" s="2486"/>
      <c r="Z720" s="2486"/>
      <c r="AA720" s="2486"/>
      <c r="AB720" s="248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49" t="s">
        <v>591</v>
      </c>
      <c r="I722" s="2549"/>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94">
        <f>VLOOKUP($H$722,$AO$716:$AP$719,2,FALSE)</f>
        <v>0</v>
      </c>
      <c r="AK724" s="2496"/>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687</v>
      </c>
      <c r="E728" s="2557" t="s">
        <v>1683</v>
      </c>
      <c r="F728" s="2557"/>
      <c r="G728" s="2557"/>
      <c r="H728" s="2557"/>
      <c r="I728" s="2557"/>
      <c r="J728" s="2557"/>
      <c r="K728" s="2557"/>
      <c r="L728" s="2557"/>
      <c r="M728" s="2557"/>
      <c r="N728" s="2557"/>
      <c r="O728" s="2557"/>
      <c r="P728" s="2557"/>
      <c r="Q728" s="2557"/>
      <c r="R728" s="2557"/>
      <c r="S728" s="2557"/>
      <c r="T728" s="2557"/>
      <c r="U728" s="2557"/>
      <c r="V728" s="2557"/>
      <c r="W728" s="2557"/>
      <c r="X728" s="2557"/>
      <c r="Y728" s="2557"/>
      <c r="Z728" s="2557"/>
      <c r="AA728" s="2557"/>
      <c r="AB728" s="2557"/>
      <c r="AC728" s="536"/>
      <c r="AD728" s="536"/>
      <c r="AE728" s="536"/>
      <c r="AF728" s="2469" t="s">
        <v>1345</v>
      </c>
      <c r="AG728" s="2469"/>
      <c r="AH728" s="2469"/>
      <c r="AI728" s="2469"/>
      <c r="AJ728" s="2469"/>
      <c r="AK728" s="2469"/>
      <c r="AL728" s="2469"/>
      <c r="AM728" s="549"/>
      <c r="AN728" s="680"/>
      <c r="AP728" s="568" t="s">
        <v>1423</v>
      </c>
    </row>
    <row r="729" spans="1:43" s="568" customFormat="1" ht="11.85" customHeight="1">
      <c r="A729" s="549"/>
      <c r="B729" s="536"/>
      <c r="C729" s="929"/>
      <c r="D729" s="659"/>
      <c r="E729" s="2557"/>
      <c r="F729" s="2557"/>
      <c r="G729" s="2557"/>
      <c r="H729" s="2557"/>
      <c r="I729" s="2557"/>
      <c r="J729" s="2557"/>
      <c r="K729" s="2557"/>
      <c r="L729" s="2557"/>
      <c r="M729" s="2557"/>
      <c r="N729" s="2557"/>
      <c r="O729" s="2557"/>
      <c r="P729" s="2557"/>
      <c r="Q729" s="2557"/>
      <c r="R729" s="2557"/>
      <c r="S729" s="2557"/>
      <c r="T729" s="2557"/>
      <c r="U729" s="2557"/>
      <c r="V729" s="2557"/>
      <c r="W729" s="2557"/>
      <c r="X729" s="2557"/>
      <c r="Y729" s="2557"/>
      <c r="Z729" s="2557"/>
      <c r="AA729" s="2557"/>
      <c r="AB729" s="2557"/>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57"/>
      <c r="F730" s="2557"/>
      <c r="G730" s="2557"/>
      <c r="H730" s="2557"/>
      <c r="I730" s="2557"/>
      <c r="J730" s="2557"/>
      <c r="K730" s="2557"/>
      <c r="L730" s="2557"/>
      <c r="M730" s="2557"/>
      <c r="N730" s="2557"/>
      <c r="O730" s="2557"/>
      <c r="P730" s="2557"/>
      <c r="Q730" s="2557"/>
      <c r="R730" s="2557"/>
      <c r="S730" s="2557"/>
      <c r="T730" s="2557"/>
      <c r="U730" s="2557"/>
      <c r="V730" s="2557"/>
      <c r="W730" s="2557"/>
      <c r="X730" s="2557"/>
      <c r="Y730" s="2557"/>
      <c r="Z730" s="2557"/>
      <c r="AA730" s="2557"/>
      <c r="AB730" s="2557"/>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509</v>
      </c>
      <c r="E732" s="2558" t="s">
        <v>1426</v>
      </c>
      <c r="F732" s="2558"/>
      <c r="G732" s="2558"/>
      <c r="H732" s="2558"/>
      <c r="I732" s="2558"/>
      <c r="J732" s="2558"/>
      <c r="K732" s="2558"/>
      <c r="L732" s="2558"/>
      <c r="M732" s="2558"/>
      <c r="N732" s="2558"/>
      <c r="O732" s="2558"/>
      <c r="P732" s="2558"/>
      <c r="Q732" s="2558"/>
      <c r="R732" s="2558"/>
      <c r="S732" s="2558"/>
      <c r="T732" s="2558"/>
      <c r="U732" s="2558"/>
      <c r="V732" s="2558"/>
      <c r="W732" s="2558"/>
      <c r="X732" s="2558"/>
      <c r="Y732" s="2558"/>
      <c r="Z732" s="2558"/>
      <c r="AA732" s="2558"/>
      <c r="AB732" s="2558"/>
      <c r="AC732" s="536"/>
      <c r="AD732" s="536"/>
      <c r="AE732" s="536"/>
      <c r="AF732" s="2469" t="s">
        <v>1399</v>
      </c>
      <c r="AG732" s="2469"/>
      <c r="AH732" s="2469"/>
      <c r="AI732" s="2469"/>
      <c r="AJ732" s="2469"/>
      <c r="AK732" s="2469"/>
      <c r="AL732" s="2469"/>
      <c r="AM732" s="549"/>
      <c r="AN732" s="681"/>
    </row>
    <row r="733" spans="1:43" s="568" customFormat="1" ht="12.75" customHeight="1">
      <c r="A733" s="549"/>
      <c r="B733" s="536"/>
      <c r="C733" s="929"/>
      <c r="D733" s="536"/>
      <c r="E733" s="2558"/>
      <c r="F733" s="2558"/>
      <c r="G733" s="2558"/>
      <c r="H733" s="2558"/>
      <c r="I733" s="2558"/>
      <c r="J733" s="2558"/>
      <c r="K733" s="2558"/>
      <c r="L733" s="2558"/>
      <c r="M733" s="2558"/>
      <c r="N733" s="2558"/>
      <c r="O733" s="2558"/>
      <c r="P733" s="2558"/>
      <c r="Q733" s="2558"/>
      <c r="R733" s="2558"/>
      <c r="S733" s="2558"/>
      <c r="T733" s="2558"/>
      <c r="U733" s="2558"/>
      <c r="V733" s="2558"/>
      <c r="W733" s="2558"/>
      <c r="X733" s="2558"/>
      <c r="Y733" s="2558"/>
      <c r="Z733" s="2558"/>
      <c r="AA733" s="2558"/>
      <c r="AB733" s="2558"/>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2558"/>
      <c r="F734" s="2558"/>
      <c r="G734" s="2558"/>
      <c r="H734" s="2558"/>
      <c r="I734" s="2558"/>
      <c r="J734" s="2558"/>
      <c r="K734" s="2558"/>
      <c r="L734" s="2558"/>
      <c r="M734" s="2558"/>
      <c r="N734" s="2558"/>
      <c r="O734" s="2558"/>
      <c r="P734" s="2558"/>
      <c r="Q734" s="2558"/>
      <c r="R734" s="2558"/>
      <c r="S734" s="2558"/>
      <c r="T734" s="2558"/>
      <c r="U734" s="2558"/>
      <c r="V734" s="2558"/>
      <c r="W734" s="2558"/>
      <c r="X734" s="2558"/>
      <c r="Y734" s="2558"/>
      <c r="Z734" s="2558"/>
      <c r="AA734" s="2558"/>
      <c r="AB734" s="2558"/>
      <c r="AC734" s="536"/>
      <c r="AD734" s="536"/>
      <c r="AE734" s="536"/>
      <c r="AF734" s="536"/>
      <c r="AG734" s="536"/>
      <c r="AH734" s="536"/>
      <c r="AI734" s="536"/>
      <c r="AJ734" s="536"/>
      <c r="AK734" s="536"/>
      <c r="AL734" s="536"/>
      <c r="AM734" s="549"/>
      <c r="AN734" s="680"/>
      <c r="AP734" s="609" t="s">
        <v>687</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1391</v>
      </c>
      <c r="E736" s="932"/>
      <c r="F736" s="932"/>
      <c r="G736" s="932"/>
      <c r="H736" s="2549" t="s">
        <v>591</v>
      </c>
      <c r="I736" s="2549"/>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94">
        <f>VLOOKUP($H$736,$AP$733:$AQ$735,2,FALSE)</f>
        <v>0</v>
      </c>
      <c r="AK738" s="2496"/>
      <c r="AL738" s="593"/>
      <c r="AM738" s="549"/>
      <c r="AN738" s="680"/>
      <c r="AP738" s="2494"/>
      <c r="AQ738" s="2496"/>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86" t="s">
        <v>1684</v>
      </c>
      <c r="F742" s="2486"/>
      <c r="G742" s="2486"/>
      <c r="H742" s="2486"/>
      <c r="I742" s="2486"/>
      <c r="J742" s="2486"/>
      <c r="K742" s="2486"/>
      <c r="L742" s="2486"/>
      <c r="M742" s="2486"/>
      <c r="N742" s="2486"/>
      <c r="O742" s="2486"/>
      <c r="P742" s="2486"/>
      <c r="Q742" s="2486"/>
      <c r="R742" s="2486"/>
      <c r="S742" s="2486"/>
      <c r="T742" s="2486"/>
      <c r="U742" s="2486"/>
      <c r="V742" s="2486"/>
      <c r="W742" s="2486"/>
      <c r="X742" s="2486"/>
      <c r="Y742" s="2486"/>
      <c r="Z742" s="2486"/>
      <c r="AA742" s="2486"/>
      <c r="AB742" s="2486"/>
      <c r="AC742" s="536"/>
      <c r="AD742" s="536"/>
      <c r="AE742" s="536"/>
      <c r="AF742" s="2469" t="s">
        <v>1345</v>
      </c>
      <c r="AG742" s="2469"/>
      <c r="AH742" s="2469"/>
      <c r="AI742" s="2469"/>
      <c r="AJ742" s="2469"/>
      <c r="AK742" s="2469"/>
      <c r="AL742" s="2469"/>
      <c r="AM742" s="549"/>
      <c r="AN742" s="680"/>
      <c r="AT742" s="14"/>
      <c r="AU742" s="14"/>
      <c r="AV742" s="14"/>
      <c r="AW742" s="14"/>
      <c r="AX742" s="14"/>
      <c r="AY742" s="14"/>
      <c r="AZ742" s="14"/>
    </row>
    <row r="743" spans="1:81" s="568" customFormat="1">
      <c r="A743" s="549"/>
      <c r="B743" s="536"/>
      <c r="C743" s="929"/>
      <c r="D743" s="659"/>
      <c r="E743" s="2486"/>
      <c r="F743" s="2486"/>
      <c r="G743" s="2486"/>
      <c r="H743" s="2486"/>
      <c r="I743" s="2486"/>
      <c r="J743" s="2486"/>
      <c r="K743" s="2486"/>
      <c r="L743" s="2486"/>
      <c r="M743" s="2486"/>
      <c r="N743" s="2486"/>
      <c r="O743" s="2486"/>
      <c r="P743" s="2486"/>
      <c r="Q743" s="2486"/>
      <c r="R743" s="2486"/>
      <c r="S743" s="2486"/>
      <c r="T743" s="2486"/>
      <c r="U743" s="2486"/>
      <c r="V743" s="2486"/>
      <c r="W743" s="2486"/>
      <c r="X743" s="2486"/>
      <c r="Y743" s="2486"/>
      <c r="Z743" s="2486"/>
      <c r="AA743" s="2486"/>
      <c r="AB743" s="248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86" t="s">
        <v>1430</v>
      </c>
      <c r="F745" s="2486"/>
      <c r="G745" s="2486"/>
      <c r="H745" s="2486"/>
      <c r="I745" s="2486"/>
      <c r="J745" s="2486"/>
      <c r="K745" s="2486"/>
      <c r="L745" s="2486"/>
      <c r="M745" s="2486"/>
      <c r="N745" s="2486"/>
      <c r="O745" s="2486"/>
      <c r="P745" s="2486"/>
      <c r="Q745" s="2486"/>
      <c r="R745" s="2486"/>
      <c r="S745" s="2486"/>
      <c r="T745" s="2486"/>
      <c r="U745" s="2486"/>
      <c r="V745" s="2486"/>
      <c r="W745" s="2486"/>
      <c r="X745" s="2486"/>
      <c r="Y745" s="2486"/>
      <c r="Z745" s="2486"/>
      <c r="AA745" s="2486"/>
      <c r="AB745" s="2486"/>
      <c r="AC745" s="536"/>
      <c r="AD745" s="536"/>
      <c r="AE745" s="536"/>
      <c r="AF745" s="2469" t="s">
        <v>1399</v>
      </c>
      <c r="AG745" s="2469"/>
      <c r="AH745" s="2469"/>
      <c r="AI745" s="2469"/>
      <c r="AJ745" s="2469"/>
      <c r="AK745" s="2469"/>
      <c r="AL745" s="2469"/>
      <c r="AM745" s="549"/>
      <c r="AN745" s="680"/>
      <c r="AT745" s="14"/>
      <c r="AU745" s="14"/>
      <c r="AV745" s="14"/>
      <c r="AW745" s="14"/>
      <c r="AX745" s="14"/>
      <c r="AY745" s="14"/>
      <c r="AZ745" s="14"/>
    </row>
    <row r="746" spans="1:81" s="568" customFormat="1">
      <c r="A746" s="549"/>
      <c r="B746" s="536"/>
      <c r="C746" s="929"/>
      <c r="D746" s="536"/>
      <c r="E746" s="2486"/>
      <c r="F746" s="2486"/>
      <c r="G746" s="2486"/>
      <c r="H746" s="2486"/>
      <c r="I746" s="2486"/>
      <c r="J746" s="2486"/>
      <c r="K746" s="2486"/>
      <c r="L746" s="2486"/>
      <c r="M746" s="2486"/>
      <c r="N746" s="2486"/>
      <c r="O746" s="2486"/>
      <c r="P746" s="2486"/>
      <c r="Q746" s="2486"/>
      <c r="R746" s="2486"/>
      <c r="S746" s="2486"/>
      <c r="T746" s="2486"/>
      <c r="U746" s="2486"/>
      <c r="V746" s="2486"/>
      <c r="W746" s="2486"/>
      <c r="X746" s="2486"/>
      <c r="Y746" s="2486"/>
      <c r="Z746" s="2486"/>
      <c r="AA746" s="2486"/>
      <c r="AB746" s="248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49" t="s">
        <v>591</v>
      </c>
      <c r="I748" s="2549"/>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94">
        <f>VLOOKUP($H$748,$AO$679:$AP$681,2,FALSE)</f>
        <v>0</v>
      </c>
      <c r="AK750" s="2496"/>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86" t="s">
        <v>1433</v>
      </c>
      <c r="F754" s="2486"/>
      <c r="G754" s="2486"/>
      <c r="H754" s="2486"/>
      <c r="I754" s="2486"/>
      <c r="J754" s="2486"/>
      <c r="K754" s="2486"/>
      <c r="L754" s="2486"/>
      <c r="M754" s="2486"/>
      <c r="N754" s="2486"/>
      <c r="O754" s="2486"/>
      <c r="P754" s="2486"/>
      <c r="Q754" s="2486"/>
      <c r="R754" s="2486"/>
      <c r="S754" s="2486"/>
      <c r="T754" s="2486"/>
      <c r="U754" s="2486"/>
      <c r="V754" s="2486"/>
      <c r="W754" s="2486"/>
      <c r="X754" s="2486"/>
      <c r="Y754" s="2486"/>
      <c r="Z754" s="2486"/>
      <c r="AA754" s="2486"/>
      <c r="AB754" s="2486"/>
      <c r="AC754" s="536"/>
      <c r="AD754" s="536"/>
      <c r="AE754" s="536"/>
      <c r="AF754" s="2469" t="s">
        <v>1345</v>
      </c>
      <c r="AG754" s="2469"/>
      <c r="AH754" s="2469"/>
      <c r="AI754" s="2469"/>
      <c r="AJ754" s="2469"/>
      <c r="AK754" s="2469"/>
      <c r="AL754" s="2469"/>
      <c r="AM754" s="549"/>
      <c r="AN754" s="680"/>
      <c r="AT754" s="14"/>
      <c r="AU754" s="14"/>
      <c r="AV754" s="14"/>
      <c r="AW754" s="14"/>
      <c r="AX754" s="14"/>
      <c r="AY754" s="14"/>
      <c r="AZ754" s="14"/>
    </row>
    <row r="755" spans="1:81" s="568" customFormat="1">
      <c r="A755" s="549"/>
      <c r="B755" s="536"/>
      <c r="C755" s="927"/>
      <c r="D755" s="659"/>
      <c r="E755" s="2486"/>
      <c r="F755" s="2486"/>
      <c r="G755" s="2486"/>
      <c r="H755" s="2486"/>
      <c r="I755" s="2486"/>
      <c r="J755" s="2486"/>
      <c r="K755" s="2486"/>
      <c r="L755" s="2486"/>
      <c r="M755" s="2486"/>
      <c r="N755" s="2486"/>
      <c r="O755" s="2486"/>
      <c r="P755" s="2486"/>
      <c r="Q755" s="2486"/>
      <c r="R755" s="2486"/>
      <c r="S755" s="2486"/>
      <c r="T755" s="2486"/>
      <c r="U755" s="2486"/>
      <c r="V755" s="2486"/>
      <c r="W755" s="2486"/>
      <c r="X755" s="2486"/>
      <c r="Y755" s="2486"/>
      <c r="Z755" s="2486"/>
      <c r="AA755" s="2486"/>
      <c r="AB755" s="248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86"/>
      <c r="F756" s="2486"/>
      <c r="G756" s="2486"/>
      <c r="H756" s="2486"/>
      <c r="I756" s="2486"/>
      <c r="J756" s="2486"/>
      <c r="K756" s="2486"/>
      <c r="L756" s="2486"/>
      <c r="M756" s="2486"/>
      <c r="N756" s="2486"/>
      <c r="O756" s="2486"/>
      <c r="P756" s="2486"/>
      <c r="Q756" s="2486"/>
      <c r="R756" s="2486"/>
      <c r="S756" s="2486"/>
      <c r="T756" s="2486"/>
      <c r="U756" s="2486"/>
      <c r="V756" s="2486"/>
      <c r="W756" s="2486"/>
      <c r="X756" s="2486"/>
      <c r="Y756" s="2486"/>
      <c r="Z756" s="2486"/>
      <c r="AA756" s="2486"/>
      <c r="AB756" s="248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86"/>
      <c r="F757" s="2486"/>
      <c r="G757" s="2486"/>
      <c r="H757" s="2486"/>
      <c r="I757" s="2486"/>
      <c r="J757" s="2486"/>
      <c r="K757" s="2486"/>
      <c r="L757" s="2486"/>
      <c r="M757" s="2486"/>
      <c r="N757" s="2486"/>
      <c r="O757" s="2486"/>
      <c r="P757" s="2486"/>
      <c r="Q757" s="2486"/>
      <c r="R757" s="2486"/>
      <c r="S757" s="2486"/>
      <c r="T757" s="2486"/>
      <c r="U757" s="2486"/>
      <c r="V757" s="2486"/>
      <c r="W757" s="2486"/>
      <c r="X757" s="2486"/>
      <c r="Y757" s="2486"/>
      <c r="Z757" s="2486"/>
      <c r="AA757" s="2486"/>
      <c r="AB757" s="248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86" t="s">
        <v>1434</v>
      </c>
      <c r="F759" s="2486"/>
      <c r="G759" s="2486"/>
      <c r="H759" s="2486"/>
      <c r="I759" s="2486"/>
      <c r="J759" s="2486"/>
      <c r="K759" s="2486"/>
      <c r="L759" s="2486"/>
      <c r="M759" s="2486"/>
      <c r="N759" s="2486"/>
      <c r="O759" s="2486"/>
      <c r="P759" s="2486"/>
      <c r="Q759" s="2486"/>
      <c r="R759" s="2486"/>
      <c r="S759" s="2486"/>
      <c r="T759" s="2486"/>
      <c r="U759" s="2486"/>
      <c r="V759" s="2486"/>
      <c r="W759" s="2486"/>
      <c r="X759" s="2486"/>
      <c r="Y759" s="2486"/>
      <c r="Z759" s="2486"/>
      <c r="AA759" s="2486"/>
      <c r="AB759" s="573"/>
      <c r="AC759" s="536"/>
      <c r="AD759" s="536"/>
      <c r="AE759" s="536"/>
      <c r="AF759" s="2469" t="s">
        <v>1399</v>
      </c>
      <c r="AG759" s="2469"/>
      <c r="AH759" s="2469"/>
      <c r="AI759" s="2469"/>
      <c r="AJ759" s="2469"/>
      <c r="AK759" s="2469"/>
      <c r="AL759" s="2469"/>
      <c r="AM759" s="549"/>
      <c r="AN759" s="680"/>
      <c r="AO759" s="30"/>
      <c r="AP759" s="14"/>
    </row>
    <row r="760" spans="1:81" s="568" customFormat="1">
      <c r="A760" s="549"/>
      <c r="B760" s="536"/>
      <c r="C760" s="927"/>
      <c r="D760" s="659"/>
      <c r="E760" s="2486"/>
      <c r="F760" s="2486"/>
      <c r="G760" s="2486"/>
      <c r="H760" s="2486"/>
      <c r="I760" s="2486"/>
      <c r="J760" s="2486"/>
      <c r="K760" s="2486"/>
      <c r="L760" s="2486"/>
      <c r="M760" s="2486"/>
      <c r="N760" s="2486"/>
      <c r="O760" s="2486"/>
      <c r="P760" s="2486"/>
      <c r="Q760" s="2486"/>
      <c r="R760" s="2486"/>
      <c r="S760" s="2486"/>
      <c r="T760" s="2486"/>
      <c r="U760" s="2486"/>
      <c r="V760" s="2486"/>
      <c r="W760" s="2486"/>
      <c r="X760" s="2486"/>
      <c r="Y760" s="2486"/>
      <c r="Z760" s="2486"/>
      <c r="AA760" s="248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86"/>
      <c r="F761" s="2486"/>
      <c r="G761" s="2486"/>
      <c r="H761" s="2486"/>
      <c r="I761" s="2486"/>
      <c r="J761" s="2486"/>
      <c r="K761" s="2486"/>
      <c r="L761" s="2486"/>
      <c r="M761" s="2486"/>
      <c r="N761" s="2486"/>
      <c r="O761" s="2486"/>
      <c r="P761" s="2486"/>
      <c r="Q761" s="2486"/>
      <c r="R761" s="2486"/>
      <c r="S761" s="2486"/>
      <c r="T761" s="2486"/>
      <c r="U761" s="2486"/>
      <c r="V761" s="2486"/>
      <c r="W761" s="2486"/>
      <c r="X761" s="2486"/>
      <c r="Y761" s="2486"/>
      <c r="Z761" s="2486"/>
      <c r="AA761" s="248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86"/>
      <c r="F762" s="2486"/>
      <c r="G762" s="2486"/>
      <c r="H762" s="2486"/>
      <c r="I762" s="2486"/>
      <c r="J762" s="2486"/>
      <c r="K762" s="2486"/>
      <c r="L762" s="2486"/>
      <c r="M762" s="2486"/>
      <c r="N762" s="2486"/>
      <c r="O762" s="2486"/>
      <c r="P762" s="2486"/>
      <c r="Q762" s="2486"/>
      <c r="R762" s="2486"/>
      <c r="S762" s="2486"/>
      <c r="T762" s="2486"/>
      <c r="U762" s="2486"/>
      <c r="V762" s="2486"/>
      <c r="W762" s="2486"/>
      <c r="X762" s="2486"/>
      <c r="Y762" s="2486"/>
      <c r="Z762" s="2486"/>
      <c r="AA762" s="248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49" t="s">
        <v>591</v>
      </c>
      <c r="I764" s="2549"/>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94">
        <f>VLOOKUP($H$764,$AO$693:$AP$695,2,FALSE)</f>
        <v>0</v>
      </c>
      <c r="AK766" s="2496"/>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86" t="s">
        <v>1436</v>
      </c>
      <c r="F770" s="2486"/>
      <c r="G770" s="2486"/>
      <c r="H770" s="2486"/>
      <c r="I770" s="2486"/>
      <c r="J770" s="2486"/>
      <c r="K770" s="2486"/>
      <c r="L770" s="2486"/>
      <c r="M770" s="2486"/>
      <c r="N770" s="2486"/>
      <c r="O770" s="2486"/>
      <c r="P770" s="2486"/>
      <c r="Q770" s="2486"/>
      <c r="R770" s="2486"/>
      <c r="S770" s="2486"/>
      <c r="T770" s="2486"/>
      <c r="U770" s="2486"/>
      <c r="V770" s="2486"/>
      <c r="W770" s="2486"/>
      <c r="X770" s="2486"/>
      <c r="Y770" s="2486"/>
      <c r="Z770" s="2486"/>
      <c r="AA770" s="2486"/>
      <c r="AB770" s="2486"/>
      <c r="AC770" s="536"/>
      <c r="AD770" s="536"/>
      <c r="AE770" s="536"/>
      <c r="AF770" s="2469" t="s">
        <v>1399</v>
      </c>
      <c r="AG770" s="2469"/>
      <c r="AH770" s="2469"/>
      <c r="AI770" s="2469"/>
      <c r="AJ770" s="2469"/>
      <c r="AK770" s="2469"/>
      <c r="AL770" s="246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86"/>
      <c r="F771" s="2486"/>
      <c r="G771" s="2486"/>
      <c r="H771" s="2486"/>
      <c r="I771" s="2486"/>
      <c r="J771" s="2486"/>
      <c r="K771" s="2486"/>
      <c r="L771" s="2486"/>
      <c r="M771" s="2486"/>
      <c r="N771" s="2486"/>
      <c r="O771" s="2486"/>
      <c r="P771" s="2486"/>
      <c r="Q771" s="2486"/>
      <c r="R771" s="2486"/>
      <c r="S771" s="2486"/>
      <c r="T771" s="2486"/>
      <c r="U771" s="2486"/>
      <c r="V771" s="2486"/>
      <c r="W771" s="2486"/>
      <c r="X771" s="2486"/>
      <c r="Y771" s="2486"/>
      <c r="Z771" s="2486"/>
      <c r="AA771" s="2486"/>
      <c r="AB771" s="248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86" t="s">
        <v>1437</v>
      </c>
      <c r="F773" s="2486"/>
      <c r="G773" s="2486"/>
      <c r="H773" s="2486"/>
      <c r="I773" s="2486"/>
      <c r="J773" s="2486"/>
      <c r="K773" s="2486"/>
      <c r="L773" s="2486"/>
      <c r="M773" s="2486"/>
      <c r="N773" s="2486"/>
      <c r="O773" s="2486"/>
      <c r="P773" s="2486"/>
      <c r="Q773" s="2486"/>
      <c r="R773" s="2486"/>
      <c r="S773" s="2486"/>
      <c r="T773" s="2486"/>
      <c r="U773" s="2486"/>
      <c r="V773" s="2486"/>
      <c r="W773" s="2486"/>
      <c r="X773" s="2486"/>
      <c r="Y773" s="2486"/>
      <c r="Z773" s="2486"/>
      <c r="AA773" s="2486"/>
      <c r="AB773" s="2486"/>
      <c r="AC773" s="536"/>
      <c r="AD773" s="536"/>
      <c r="AE773" s="536"/>
      <c r="AF773" s="2469" t="s">
        <v>1416</v>
      </c>
      <c r="AG773" s="2469"/>
      <c r="AH773" s="2469"/>
      <c r="AI773" s="2469"/>
      <c r="AJ773" s="2469"/>
      <c r="AK773" s="2469"/>
      <c r="AL773" s="246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86"/>
      <c r="F774" s="2486"/>
      <c r="G774" s="2486"/>
      <c r="H774" s="2486"/>
      <c r="I774" s="2486"/>
      <c r="J774" s="2486"/>
      <c r="K774" s="2486"/>
      <c r="L774" s="2486"/>
      <c r="M774" s="2486"/>
      <c r="N774" s="2486"/>
      <c r="O774" s="2486"/>
      <c r="P774" s="2486"/>
      <c r="Q774" s="2486"/>
      <c r="R774" s="2486"/>
      <c r="S774" s="2486"/>
      <c r="T774" s="2486"/>
      <c r="U774" s="2486"/>
      <c r="V774" s="2486"/>
      <c r="W774" s="2486"/>
      <c r="X774" s="2486"/>
      <c r="Y774" s="2486"/>
      <c r="Z774" s="2486"/>
      <c r="AA774" s="2486"/>
      <c r="AB774" s="248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49" t="s">
        <v>509</v>
      </c>
      <c r="I776" s="2549"/>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94">
        <f>VLOOKUP($H$776,$AO$710:$AP$712,2,FALSE)</f>
        <v>1</v>
      </c>
      <c r="AK778" s="2496"/>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687</v>
      </c>
      <c r="E782" s="2486" t="s">
        <v>1680</v>
      </c>
      <c r="F782" s="2486"/>
      <c r="G782" s="2486"/>
      <c r="H782" s="2486"/>
      <c r="I782" s="2486"/>
      <c r="J782" s="2486"/>
      <c r="K782" s="2486"/>
      <c r="L782" s="2486"/>
      <c r="M782" s="2486"/>
      <c r="N782" s="2486"/>
      <c r="O782" s="2486"/>
      <c r="P782" s="2486"/>
      <c r="Q782" s="2486"/>
      <c r="R782" s="2486"/>
      <c r="S782" s="2486"/>
      <c r="T782" s="2486"/>
      <c r="U782" s="2486"/>
      <c r="V782" s="2486"/>
      <c r="W782" s="2486"/>
      <c r="X782" s="2486"/>
      <c r="Y782" s="2486"/>
      <c r="Z782" s="2486"/>
      <c r="AA782" s="2486"/>
      <c r="AB782" s="2486"/>
      <c r="AC782" s="2486"/>
      <c r="AD782" s="2486"/>
      <c r="AE782" s="536"/>
      <c r="AF782" s="2469" t="s">
        <v>1399</v>
      </c>
      <c r="AG782" s="2469"/>
      <c r="AH782" s="2469"/>
      <c r="AI782" s="2469"/>
      <c r="AJ782" s="2469"/>
      <c r="AK782" s="2469"/>
      <c r="AL782" s="2469"/>
      <c r="AM782" s="611"/>
      <c r="AN782" s="680"/>
      <c r="AO782" s="549" t="s">
        <v>591</v>
      </c>
      <c r="AP782" s="669">
        <v>0</v>
      </c>
    </row>
    <row r="783" spans="1:74" s="568" customFormat="1" ht="13.65" customHeight="1">
      <c r="A783" s="549"/>
      <c r="B783" s="614"/>
      <c r="C783" s="936"/>
      <c r="D783" s="659"/>
      <c r="E783" s="2486"/>
      <c r="F783" s="2486"/>
      <c r="G783" s="2486"/>
      <c r="H783" s="2486"/>
      <c r="I783" s="2486"/>
      <c r="J783" s="2486"/>
      <c r="K783" s="2486"/>
      <c r="L783" s="2486"/>
      <c r="M783" s="2486"/>
      <c r="N783" s="2486"/>
      <c r="O783" s="2486"/>
      <c r="P783" s="2486"/>
      <c r="Q783" s="2486"/>
      <c r="R783" s="2486"/>
      <c r="S783" s="2486"/>
      <c r="T783" s="2486"/>
      <c r="U783" s="2486"/>
      <c r="V783" s="2486"/>
      <c r="W783" s="2486"/>
      <c r="X783" s="2486"/>
      <c r="Y783" s="2486"/>
      <c r="Z783" s="2486"/>
      <c r="AA783" s="2486"/>
      <c r="AB783" s="2486"/>
      <c r="AC783" s="2486"/>
      <c r="AD783" s="2486"/>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86"/>
      <c r="F784" s="2486"/>
      <c r="G784" s="2486"/>
      <c r="H784" s="2486"/>
      <c r="I784" s="2486"/>
      <c r="J784" s="2486"/>
      <c r="K784" s="2486"/>
      <c r="L784" s="2486"/>
      <c r="M784" s="2486"/>
      <c r="N784" s="2486"/>
      <c r="O784" s="2486"/>
      <c r="P784" s="2486"/>
      <c r="Q784" s="2486"/>
      <c r="R784" s="2486"/>
      <c r="S784" s="2486"/>
      <c r="T784" s="2486"/>
      <c r="U784" s="2486"/>
      <c r="V784" s="2486"/>
      <c r="W784" s="2486"/>
      <c r="X784" s="2486"/>
      <c r="Y784" s="2486"/>
      <c r="Z784" s="2486"/>
      <c r="AA784" s="2486"/>
      <c r="AB784" s="2486"/>
      <c r="AC784" s="2486"/>
      <c r="AD784" s="2486"/>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86"/>
      <c r="F785" s="2486"/>
      <c r="G785" s="2486"/>
      <c r="H785" s="2486"/>
      <c r="I785" s="2486"/>
      <c r="J785" s="2486"/>
      <c r="K785" s="2486"/>
      <c r="L785" s="2486"/>
      <c r="M785" s="2486"/>
      <c r="N785" s="2486"/>
      <c r="O785" s="2486"/>
      <c r="P785" s="2486"/>
      <c r="Q785" s="2486"/>
      <c r="R785" s="2486"/>
      <c r="S785" s="2486"/>
      <c r="T785" s="2486"/>
      <c r="U785" s="2486"/>
      <c r="V785" s="2486"/>
      <c r="W785" s="2486"/>
      <c r="X785" s="2486"/>
      <c r="Y785" s="2486"/>
      <c r="Z785" s="2486"/>
      <c r="AA785" s="2486"/>
      <c r="AB785" s="2486"/>
      <c r="AC785" s="2486"/>
      <c r="AD785" s="248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59" t="s">
        <v>1685</v>
      </c>
      <c r="F787" s="2559"/>
      <c r="G787" s="2559"/>
      <c r="H787" s="2559"/>
      <c r="I787" s="2559"/>
      <c r="J787" s="2559"/>
      <c r="K787" s="2559"/>
      <c r="L787" s="2559"/>
      <c r="M787" s="2559"/>
      <c r="N787" s="2559"/>
      <c r="O787" s="2559"/>
      <c r="P787" s="2559"/>
      <c r="Q787" s="2559"/>
      <c r="R787" s="2559"/>
      <c r="S787" s="2559"/>
      <c r="T787" s="2559"/>
      <c r="U787" s="2559"/>
      <c r="V787" s="2559"/>
      <c r="W787" s="2559"/>
      <c r="X787" s="2559"/>
      <c r="Y787" s="2559"/>
      <c r="Z787" s="2559"/>
      <c r="AA787" s="2559"/>
      <c r="AB787" s="2559"/>
      <c r="AC787" s="2559"/>
      <c r="AD787" s="2559"/>
      <c r="AE787" s="536"/>
      <c r="AF787" s="2469" t="s">
        <v>1345</v>
      </c>
      <c r="AG787" s="2469"/>
      <c r="AH787" s="2469"/>
      <c r="AI787" s="2469"/>
      <c r="AJ787" s="2469"/>
      <c r="AK787" s="2469"/>
      <c r="AL787" s="2469"/>
      <c r="AM787" s="611"/>
      <c r="AN787" s="595"/>
    </row>
    <row r="788" spans="1:81" s="549" customFormat="1" ht="12.75" customHeight="1">
      <c r="B788" s="614"/>
      <c r="C788" s="936"/>
      <c r="D788" s="659"/>
      <c r="E788" s="2559"/>
      <c r="F788" s="2559"/>
      <c r="G788" s="2559"/>
      <c r="H788" s="2559"/>
      <c r="I788" s="2559"/>
      <c r="J788" s="2559"/>
      <c r="K788" s="2559"/>
      <c r="L788" s="2559"/>
      <c r="M788" s="2559"/>
      <c r="N788" s="2559"/>
      <c r="O788" s="2559"/>
      <c r="P788" s="2559"/>
      <c r="Q788" s="2559"/>
      <c r="R788" s="2559"/>
      <c r="S788" s="2559"/>
      <c r="T788" s="2559"/>
      <c r="U788" s="2559"/>
      <c r="V788" s="2559"/>
      <c r="W788" s="2559"/>
      <c r="X788" s="2559"/>
      <c r="Y788" s="2559"/>
      <c r="Z788" s="2559"/>
      <c r="AA788" s="2559"/>
      <c r="AB788" s="2559"/>
      <c r="AC788" s="2559"/>
      <c r="AD788" s="2559"/>
      <c r="AE788" s="592"/>
      <c r="AF788" s="592"/>
      <c r="AG788" s="592"/>
      <c r="AH788" s="592"/>
      <c r="AI788" s="592"/>
      <c r="AJ788" s="592"/>
      <c r="AK788" s="592"/>
      <c r="AL788" s="592"/>
      <c r="AM788" s="611"/>
      <c r="AN788" s="595"/>
    </row>
    <row r="789" spans="1:81" s="549" customFormat="1" ht="12.75" customHeight="1">
      <c r="B789" s="614"/>
      <c r="C789" s="936"/>
      <c r="D789" s="659"/>
      <c r="E789" s="2559"/>
      <c r="F789" s="2559"/>
      <c r="G789" s="2559"/>
      <c r="H789" s="2559"/>
      <c r="I789" s="2559"/>
      <c r="J789" s="2559"/>
      <c r="K789" s="2559"/>
      <c r="L789" s="2559"/>
      <c r="M789" s="2559"/>
      <c r="N789" s="2559"/>
      <c r="O789" s="2559"/>
      <c r="P789" s="2559"/>
      <c r="Q789" s="2559"/>
      <c r="R789" s="2559"/>
      <c r="S789" s="2559"/>
      <c r="T789" s="2559"/>
      <c r="U789" s="2559"/>
      <c r="V789" s="2559"/>
      <c r="W789" s="2559"/>
      <c r="X789" s="2559"/>
      <c r="Y789" s="2559"/>
      <c r="Z789" s="2559"/>
      <c r="AA789" s="2559"/>
      <c r="AB789" s="2559"/>
      <c r="AC789" s="2559"/>
      <c r="AD789" s="2559"/>
      <c r="AE789" s="592"/>
      <c r="AF789" s="592"/>
      <c r="AG789" s="592"/>
      <c r="AH789" s="592"/>
      <c r="AI789" s="592"/>
      <c r="AJ789" s="592"/>
      <c r="AK789" s="592"/>
      <c r="AL789" s="592"/>
      <c r="AM789" s="611"/>
      <c r="AN789" s="595"/>
    </row>
    <row r="790" spans="1:81" s="549" customFormat="1" ht="12.75" customHeight="1">
      <c r="B790" s="614"/>
      <c r="C790" s="936"/>
      <c r="D790" s="659"/>
      <c r="E790" s="2559"/>
      <c r="F790" s="2559"/>
      <c r="G790" s="2559"/>
      <c r="H790" s="2559"/>
      <c r="I790" s="2559"/>
      <c r="J790" s="2559"/>
      <c r="K790" s="2559"/>
      <c r="L790" s="2559"/>
      <c r="M790" s="2559"/>
      <c r="N790" s="2559"/>
      <c r="O790" s="2559"/>
      <c r="P790" s="2559"/>
      <c r="Q790" s="2559"/>
      <c r="R790" s="2559"/>
      <c r="S790" s="2559"/>
      <c r="T790" s="2559"/>
      <c r="U790" s="2559"/>
      <c r="V790" s="2559"/>
      <c r="W790" s="2559"/>
      <c r="X790" s="2559"/>
      <c r="Y790" s="2559"/>
      <c r="Z790" s="2559"/>
      <c r="AA790" s="2559"/>
      <c r="AB790" s="2559"/>
      <c r="AC790" s="2559"/>
      <c r="AD790" s="255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49" t="s">
        <v>591</v>
      </c>
      <c r="I792" s="2549"/>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94">
        <f>VLOOKUP($H$792,$AO$782:$AP$784,2,FALSE)</f>
        <v>0</v>
      </c>
      <c r="AK794" s="2496"/>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687</v>
      </c>
      <c r="E798" s="2486" t="s">
        <v>2632</v>
      </c>
      <c r="F798" s="2486"/>
      <c r="G798" s="2486"/>
      <c r="H798" s="2486"/>
      <c r="I798" s="2486"/>
      <c r="J798" s="2486"/>
      <c r="K798" s="2486"/>
      <c r="L798" s="2486"/>
      <c r="M798" s="2486"/>
      <c r="N798" s="2486"/>
      <c r="O798" s="2486"/>
      <c r="P798" s="2486"/>
      <c r="Q798" s="2486"/>
      <c r="R798" s="2486"/>
      <c r="S798" s="2486"/>
      <c r="T798" s="2486"/>
      <c r="U798" s="2486"/>
      <c r="V798" s="2486"/>
      <c r="W798" s="2486"/>
      <c r="X798" s="2486"/>
      <c r="Y798" s="2486"/>
      <c r="Z798" s="2486"/>
      <c r="AA798" s="2486"/>
      <c r="AB798" s="2486"/>
      <c r="AC798" s="2486"/>
      <c r="AD798" s="2486"/>
      <c r="AE798" s="536"/>
      <c r="AF798" s="2469" t="s">
        <v>1345</v>
      </c>
      <c r="AG798" s="2469"/>
      <c r="AH798" s="2469"/>
      <c r="AI798" s="2469"/>
      <c r="AJ798" s="2469"/>
      <c r="AK798" s="2469"/>
      <c r="AL798" s="2469"/>
      <c r="AM798" s="611"/>
      <c r="AN798" s="680"/>
      <c r="AO798" s="609" t="s">
        <v>545</v>
      </c>
      <c r="AP798" s="549">
        <v>3</v>
      </c>
      <c r="AT798" s="670"/>
      <c r="AU798" s="670"/>
      <c r="AV798" s="670"/>
      <c r="AW798" s="670"/>
      <c r="AX798" s="670"/>
      <c r="AY798" s="670"/>
      <c r="AZ798" s="670"/>
    </row>
    <row r="799" spans="1:81" s="568" customFormat="1" ht="13.65" customHeight="1">
      <c r="A799" s="549"/>
      <c r="B799" s="614"/>
      <c r="C799" s="936"/>
      <c r="D799" s="659"/>
      <c r="E799" s="2486"/>
      <c r="F799" s="2486"/>
      <c r="G799" s="2486"/>
      <c r="H799" s="2486"/>
      <c r="I799" s="2486"/>
      <c r="J799" s="2486"/>
      <c r="K799" s="2486"/>
      <c r="L799" s="2486"/>
      <c r="M799" s="2486"/>
      <c r="N799" s="2486"/>
      <c r="O799" s="2486"/>
      <c r="P799" s="2486"/>
      <c r="Q799" s="2486"/>
      <c r="R799" s="2486"/>
      <c r="S799" s="2486"/>
      <c r="T799" s="2486"/>
      <c r="U799" s="2486"/>
      <c r="V799" s="2486"/>
      <c r="W799" s="2486"/>
      <c r="X799" s="2486"/>
      <c r="Y799" s="2486"/>
      <c r="Z799" s="2486"/>
      <c r="AA799" s="2486"/>
      <c r="AB799" s="2486"/>
      <c r="AC799" s="2486"/>
      <c r="AD799" s="248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86"/>
      <c r="F800" s="2486"/>
      <c r="G800" s="2486"/>
      <c r="H800" s="2486"/>
      <c r="I800" s="2486"/>
      <c r="J800" s="2486"/>
      <c r="K800" s="2486"/>
      <c r="L800" s="2486"/>
      <c r="M800" s="2486"/>
      <c r="N800" s="2486"/>
      <c r="O800" s="2486"/>
      <c r="P800" s="2486"/>
      <c r="Q800" s="2486"/>
      <c r="R800" s="2486"/>
      <c r="S800" s="2486"/>
      <c r="T800" s="2486"/>
      <c r="U800" s="2486"/>
      <c r="V800" s="2486"/>
      <c r="W800" s="2486"/>
      <c r="X800" s="2486"/>
      <c r="Y800" s="2486"/>
      <c r="Z800" s="2486"/>
      <c r="AA800" s="2486"/>
      <c r="AB800" s="2486"/>
      <c r="AC800" s="2486"/>
      <c r="AD800" s="248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86"/>
      <c r="F801" s="2486"/>
      <c r="G801" s="2486"/>
      <c r="H801" s="2486"/>
      <c r="I801" s="2486"/>
      <c r="J801" s="2486"/>
      <c r="K801" s="2486"/>
      <c r="L801" s="2486"/>
      <c r="M801" s="2486"/>
      <c r="N801" s="2486"/>
      <c r="O801" s="2486"/>
      <c r="P801" s="2486"/>
      <c r="Q801" s="2486"/>
      <c r="R801" s="2486"/>
      <c r="S801" s="2486"/>
      <c r="T801" s="2486"/>
      <c r="U801" s="2486"/>
      <c r="V801" s="2486"/>
      <c r="W801" s="2486"/>
      <c r="X801" s="2486"/>
      <c r="Y801" s="2486"/>
      <c r="Z801" s="2486"/>
      <c r="AA801" s="2486"/>
      <c r="AB801" s="2486"/>
      <c r="AC801" s="2486"/>
      <c r="AD801" s="248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49" t="s">
        <v>545</v>
      </c>
      <c r="I803" s="2549"/>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94">
        <f>VLOOKUP($H$803,$AO$797:$AP$798,2,FALSE)</f>
        <v>3</v>
      </c>
      <c r="AK805" s="2496"/>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86" t="s">
        <v>2594</v>
      </c>
      <c r="F809" s="2486"/>
      <c r="G809" s="2486"/>
      <c r="H809" s="2486"/>
      <c r="I809" s="2486"/>
      <c r="J809" s="2486"/>
      <c r="K809" s="2486"/>
      <c r="L809" s="2486"/>
      <c r="M809" s="2486"/>
      <c r="N809" s="2486"/>
      <c r="O809" s="2486"/>
      <c r="P809" s="2486"/>
      <c r="Q809" s="2486"/>
      <c r="R809" s="2486"/>
      <c r="S809" s="2486"/>
      <c r="T809" s="2486"/>
      <c r="U809" s="2486"/>
      <c r="V809" s="2486"/>
      <c r="W809" s="2486"/>
      <c r="X809" s="2486"/>
      <c r="Y809" s="2486"/>
      <c r="Z809" s="2486"/>
      <c r="AA809" s="2486"/>
      <c r="AB809" s="2486"/>
      <c r="AC809" s="2486"/>
      <c r="AD809" s="2486"/>
      <c r="AE809" s="550"/>
      <c r="AF809" s="2469" t="s">
        <v>1370</v>
      </c>
      <c r="AG809" s="2469"/>
      <c r="AH809" s="2469"/>
      <c r="AI809" s="2469"/>
      <c r="AJ809" s="2469"/>
      <c r="AK809" s="2469"/>
      <c r="AL809" s="2469"/>
      <c r="AN809" s="595"/>
    </row>
    <row r="810" spans="1:81" s="549" customFormat="1" ht="12.75" customHeight="1">
      <c r="B810" s="614"/>
      <c r="C810" s="684"/>
      <c r="D810" s="659"/>
      <c r="E810" s="2486"/>
      <c r="F810" s="2486"/>
      <c r="G810" s="2486"/>
      <c r="H810" s="2486"/>
      <c r="I810" s="2486"/>
      <c r="J810" s="2486"/>
      <c r="K810" s="2486"/>
      <c r="L810" s="2486"/>
      <c r="M810" s="2486"/>
      <c r="N810" s="2486"/>
      <c r="O810" s="2486"/>
      <c r="P810" s="2486"/>
      <c r="Q810" s="2486"/>
      <c r="R810" s="2486"/>
      <c r="S810" s="2486"/>
      <c r="T810" s="2486"/>
      <c r="U810" s="2486"/>
      <c r="V810" s="2486"/>
      <c r="W810" s="2486"/>
      <c r="X810" s="2486"/>
      <c r="Y810" s="2486"/>
      <c r="Z810" s="2486"/>
      <c r="AA810" s="2486"/>
      <c r="AB810" s="2486"/>
      <c r="AC810" s="2486"/>
      <c r="AD810" s="248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49" t="s">
        <v>591</v>
      </c>
      <c r="I812" s="2549"/>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494">
        <f>IF(H812="Yes",5,0)</f>
        <v>0</v>
      </c>
      <c r="AK814" s="2496"/>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94">
        <f>IF(($AJ$634+$AJ$653+$AJ$665+$AJ$700+$AJ$724+$AJ$738+$AJ$750+$AJ$766+$AJ$778+$AJ$794+AJ805+AJ814)&gt;10,10,($AJ$634+$AJ$653+$AJ$665+$AJ$700+$AJ$724+$AJ$738+$AJ$750+$AJ$766+$AJ$778+$AJ$794+AJ805+AJ814))</f>
        <v>10</v>
      </c>
      <c r="AL816" s="2495"/>
      <c r="AM816" s="2496"/>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81" t="s">
        <v>1557</v>
      </c>
      <c r="B819" s="2582"/>
      <c r="C819" s="2582"/>
      <c r="D819" s="2582"/>
      <c r="E819" s="2582"/>
      <c r="F819" s="2582"/>
      <c r="G819" s="2582"/>
      <c r="H819" s="2582"/>
      <c r="I819" s="2582"/>
      <c r="J819" s="2582"/>
      <c r="K819" s="2582"/>
      <c r="L819" s="2582"/>
      <c r="M819" s="2582"/>
      <c r="N819" s="2582"/>
      <c r="O819" s="2582"/>
      <c r="P819" s="2582"/>
      <c r="Q819" s="2582"/>
      <c r="R819" s="2582"/>
      <c r="S819" s="2582"/>
      <c r="T819" s="2582"/>
      <c r="U819" s="2582"/>
      <c r="V819" s="2582"/>
      <c r="W819" s="2582"/>
      <c r="X819" s="2582"/>
      <c r="Y819" s="2582"/>
      <c r="Z819" s="2582"/>
      <c r="AA819" s="2582"/>
      <c r="AB819" s="2582"/>
      <c r="AC819" s="2582"/>
      <c r="AD819" s="2582"/>
      <c r="AE819" s="2582"/>
      <c r="AF819" s="2582"/>
      <c r="AG819" s="2582"/>
      <c r="AH819" s="2582"/>
      <c r="AI819" s="2582"/>
      <c r="AJ819" s="2582"/>
      <c r="AK819" s="2582"/>
      <c r="AL819" s="2582"/>
      <c r="AM819" s="2582"/>
    </row>
    <row r="820" spans="1:43">
      <c r="A820" s="2583"/>
      <c r="B820" s="2583"/>
      <c r="C820" s="2583"/>
      <c r="D820" s="2583"/>
      <c r="E820" s="2583"/>
      <c r="F820" s="2583"/>
      <c r="G820" s="2583"/>
      <c r="H820" s="2583"/>
      <c r="I820" s="2583"/>
      <c r="J820" s="2583"/>
      <c r="K820" s="2583"/>
      <c r="L820" s="2583"/>
      <c r="M820" s="2583"/>
      <c r="N820" s="2583"/>
      <c r="O820" s="2583"/>
      <c r="P820" s="2583"/>
      <c r="Q820" s="2583"/>
      <c r="R820" s="2583"/>
      <c r="S820" s="2583"/>
      <c r="T820" s="2583"/>
      <c r="U820" s="2583"/>
      <c r="V820" s="2583"/>
      <c r="W820" s="2583"/>
      <c r="X820" s="2583"/>
      <c r="Y820" s="2583"/>
      <c r="Z820" s="2583"/>
      <c r="AA820" s="2583"/>
      <c r="AB820" s="2583"/>
      <c r="AC820" s="2583"/>
      <c r="AD820" s="2583"/>
      <c r="AE820" s="2583"/>
      <c r="AF820" s="2583"/>
      <c r="AG820" s="2583"/>
      <c r="AH820" s="2583"/>
      <c r="AI820" s="2583"/>
      <c r="AJ820" s="2583"/>
      <c r="AK820" s="2583"/>
      <c r="AL820" s="2583"/>
      <c r="AM820" s="258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32"/>
      <c r="B822" s="2532"/>
      <c r="C822" s="2532"/>
      <c r="D822" s="2532"/>
      <c r="E822" s="2532"/>
      <c r="F822" s="2532"/>
      <c r="G822" s="2532"/>
      <c r="H822" s="2532"/>
      <c r="I822" s="2532"/>
      <c r="J822" s="2532"/>
      <c r="K822" s="2532"/>
      <c r="L822" s="2532"/>
      <c r="M822" s="2532"/>
      <c r="N822" s="2532"/>
      <c r="O822" s="2532"/>
      <c r="P822" s="2532"/>
      <c r="Q822" s="2532"/>
      <c r="R822" s="2532"/>
      <c r="S822" s="2532"/>
      <c r="T822" s="2532"/>
      <c r="U822" s="2532"/>
      <c r="V822" s="2532"/>
      <c r="W822" s="2532"/>
      <c r="X822" s="2532"/>
      <c r="Y822" s="2532"/>
      <c r="Z822" s="2532"/>
      <c r="AA822" s="2532"/>
      <c r="AB822" s="2532"/>
      <c r="AC822" s="2532"/>
      <c r="AD822" s="2532"/>
      <c r="AE822" s="2532"/>
      <c r="AF822" s="2532"/>
      <c r="AG822" s="2532"/>
      <c r="AH822" s="2532"/>
      <c r="AI822" s="2532"/>
      <c r="AJ822" s="2532"/>
      <c r="AK822" s="2532"/>
      <c r="AL822" s="2532"/>
      <c r="AM822" s="2532"/>
      <c r="AP822" s="812"/>
      <c r="AQ822" s="812"/>
    </row>
    <row r="823" spans="1:43">
      <c r="A823" s="2532"/>
      <c r="B823" s="2532"/>
      <c r="C823" s="2532"/>
      <c r="D823" s="2532"/>
      <c r="E823" s="2532"/>
      <c r="F823" s="2532"/>
      <c r="G823" s="2532"/>
      <c r="H823" s="2532"/>
      <c r="I823" s="2532"/>
      <c r="J823" s="2532"/>
      <c r="K823" s="2532"/>
      <c r="L823" s="2532"/>
      <c r="M823" s="2532"/>
      <c r="N823" s="2532"/>
      <c r="O823" s="2532"/>
      <c r="P823" s="2532"/>
      <c r="Q823" s="2532"/>
      <c r="R823" s="2532"/>
      <c r="S823" s="2532"/>
      <c r="T823" s="2532"/>
      <c r="U823" s="2532"/>
      <c r="V823" s="2532"/>
      <c r="W823" s="2532"/>
      <c r="X823" s="2532"/>
      <c r="Y823" s="2532"/>
      <c r="Z823" s="2532"/>
      <c r="AA823" s="2532"/>
      <c r="AB823" s="2532"/>
      <c r="AC823" s="2532"/>
      <c r="AD823" s="2532"/>
      <c r="AE823" s="2532"/>
      <c r="AF823" s="2532"/>
      <c r="AG823" s="2532"/>
      <c r="AH823" s="2532"/>
      <c r="AI823" s="2532"/>
      <c r="AJ823" s="2532"/>
      <c r="AK823" s="2532"/>
      <c r="AL823" s="2532"/>
      <c r="AM823" s="253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84" t="s">
        <v>1558</v>
      </c>
      <c r="U824" s="2585"/>
      <c r="V824" s="2585"/>
      <c r="W824" s="2585"/>
      <c r="X824" s="2585"/>
      <c r="Y824" s="2586"/>
      <c r="Z824" s="2584" t="s">
        <v>1559</v>
      </c>
      <c r="AA824" s="2585"/>
      <c r="AB824" s="2585"/>
      <c r="AC824" s="2585"/>
      <c r="AD824" s="2585"/>
      <c r="AE824" s="2586"/>
      <c r="AF824" s="2584" t="s">
        <v>1560</v>
      </c>
      <c r="AG824" s="2585"/>
      <c r="AH824" s="2585"/>
      <c r="AI824" s="2585"/>
      <c r="AJ824" s="2585"/>
      <c r="AK824" s="258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87"/>
      <c r="U825" s="2588"/>
      <c r="V825" s="2588"/>
      <c r="W825" s="2588"/>
      <c r="X825" s="2588"/>
      <c r="Y825" s="2589"/>
      <c r="Z825" s="2587"/>
      <c r="AA825" s="2588"/>
      <c r="AB825" s="2588"/>
      <c r="AC825" s="2588"/>
      <c r="AD825" s="2588"/>
      <c r="AE825" s="2589"/>
      <c r="AF825" s="2587"/>
      <c r="AG825" s="2588"/>
      <c r="AH825" s="2588"/>
      <c r="AI825" s="2588"/>
      <c r="AJ825" s="2588"/>
      <c r="AK825" s="2589"/>
      <c r="AL825" s="814"/>
      <c r="AM825" s="594"/>
      <c r="AO825" s="812"/>
      <c r="AP825" s="812"/>
      <c r="AQ825" s="812"/>
    </row>
    <row r="826" spans="1:43">
      <c r="A826" s="815" t="s">
        <v>757</v>
      </c>
      <c r="B826" s="2564" t="str">
        <f>B7</f>
        <v xml:space="preserve">Acquisition/Rehabilitation Project Priorities </v>
      </c>
      <c r="C826" s="2564"/>
      <c r="D826" s="2564"/>
      <c r="E826" s="2564"/>
      <c r="F826" s="2564"/>
      <c r="G826" s="2564"/>
      <c r="H826" s="2564"/>
      <c r="I826" s="2564"/>
      <c r="J826" s="2564"/>
      <c r="K826" s="2564"/>
      <c r="L826" s="2564"/>
      <c r="M826" s="2564"/>
      <c r="N826" s="2564"/>
      <c r="O826" s="2564"/>
      <c r="P826" s="2564"/>
      <c r="Q826" s="2564"/>
      <c r="R826" s="2564"/>
      <c r="S826" s="2565"/>
      <c r="T826" s="2566">
        <f>AK61</f>
        <v>0</v>
      </c>
      <c r="U826" s="2567"/>
      <c r="V826" s="2567"/>
      <c r="W826" s="2567"/>
      <c r="X826" s="2567"/>
      <c r="Y826" s="2568"/>
      <c r="Z826" s="2569">
        <v>20</v>
      </c>
      <c r="AA826" s="2567"/>
      <c r="AB826" s="2567"/>
      <c r="AC826" s="2567"/>
      <c r="AD826" s="2567"/>
      <c r="AE826" s="2568"/>
      <c r="AF826" s="2562">
        <f>IF(T826&gt;Z826,Z826,T826)</f>
        <v>0</v>
      </c>
      <c r="AG826" s="2562"/>
      <c r="AH826" s="2562"/>
      <c r="AI826" s="2562"/>
      <c r="AJ826" s="2562"/>
      <c r="AK826" s="2562"/>
      <c r="AL826" s="814"/>
      <c r="AM826" s="594"/>
      <c r="AO826" s="812"/>
      <c r="AP826" s="812"/>
      <c r="AQ826" s="812"/>
    </row>
    <row r="827" spans="1:43">
      <c r="A827" s="815" t="s">
        <v>1531</v>
      </c>
      <c r="B827" s="2564" t="s">
        <v>1306</v>
      </c>
      <c r="C827" s="2564"/>
      <c r="D827" s="2564"/>
      <c r="E827" s="2564"/>
      <c r="F827" s="2564"/>
      <c r="G827" s="2564"/>
      <c r="H827" s="2564"/>
      <c r="I827" s="2564"/>
      <c r="J827" s="2564"/>
      <c r="K827" s="2564"/>
      <c r="L827" s="2564"/>
      <c r="M827" s="2564"/>
      <c r="N827" s="2564"/>
      <c r="O827" s="2564"/>
      <c r="P827" s="2564"/>
      <c r="Q827" s="2564"/>
      <c r="R827" s="2564"/>
      <c r="S827" s="2565"/>
      <c r="T827" s="2566">
        <f>AK83</f>
        <v>10</v>
      </c>
      <c r="U827" s="2567"/>
      <c r="V827" s="2567"/>
      <c r="W827" s="2567"/>
      <c r="X827" s="2567"/>
      <c r="Y827" s="2568"/>
      <c r="Z827" s="2569">
        <v>10</v>
      </c>
      <c r="AA827" s="2567"/>
      <c r="AB827" s="2567"/>
      <c r="AC827" s="2567"/>
      <c r="AD827" s="2567"/>
      <c r="AE827" s="2568"/>
      <c r="AF827" s="2562">
        <f>IF(T827&gt;Z827,Z827,T827)</f>
        <v>10</v>
      </c>
      <c r="AG827" s="2562"/>
      <c r="AH827" s="2562"/>
      <c r="AI827" s="2562"/>
      <c r="AJ827" s="2562"/>
      <c r="AK827" s="2562"/>
      <c r="AL827" s="814"/>
      <c r="AM827" s="594"/>
      <c r="AO827" s="812"/>
      <c r="AP827" s="812"/>
      <c r="AQ827" s="812"/>
    </row>
    <row r="828" spans="1:43">
      <c r="A828" s="815" t="s">
        <v>1540</v>
      </c>
      <c r="B828" s="2564" t="s">
        <v>1316</v>
      </c>
      <c r="C828" s="2564"/>
      <c r="D828" s="2564"/>
      <c r="E828" s="2564"/>
      <c r="F828" s="2564"/>
      <c r="G828" s="2564"/>
      <c r="H828" s="2564"/>
      <c r="I828" s="2564"/>
      <c r="J828" s="2564"/>
      <c r="K828" s="2564"/>
      <c r="L828" s="2564"/>
      <c r="M828" s="2564"/>
      <c r="N828" s="2564"/>
      <c r="O828" s="2564"/>
      <c r="P828" s="2564"/>
      <c r="Q828" s="2564"/>
      <c r="R828" s="2564"/>
      <c r="S828" s="2565"/>
      <c r="T828" s="2566">
        <f ca="1">AK108</f>
        <v>20</v>
      </c>
      <c r="U828" s="2567"/>
      <c r="V828" s="2567"/>
      <c r="W828" s="2567"/>
      <c r="X828" s="2567"/>
      <c r="Y828" s="2568"/>
      <c r="Z828" s="2569">
        <v>20</v>
      </c>
      <c r="AA828" s="2567"/>
      <c r="AB828" s="2567"/>
      <c r="AC828" s="2567"/>
      <c r="AD828" s="2567"/>
      <c r="AE828" s="2568"/>
      <c r="AF828" s="2562">
        <f ca="1">IF(T828&gt;Z828,Z828,T828)</f>
        <v>20</v>
      </c>
      <c r="AG828" s="2562"/>
      <c r="AH828" s="2562"/>
      <c r="AI828" s="2562"/>
      <c r="AJ828" s="2562"/>
      <c r="AK828" s="2562"/>
      <c r="AL828" s="814"/>
      <c r="AM828" s="594"/>
      <c r="AO828" s="812"/>
      <c r="AP828" s="812"/>
      <c r="AQ828" s="812"/>
    </row>
    <row r="829" spans="1:43">
      <c r="A829" s="815" t="s">
        <v>1561</v>
      </c>
      <c r="B829" s="2564" t="s">
        <v>1326</v>
      </c>
      <c r="C829" s="2564"/>
      <c r="D829" s="2564"/>
      <c r="E829" s="2564"/>
      <c r="F829" s="2564"/>
      <c r="G829" s="2564"/>
      <c r="H829" s="2564"/>
      <c r="I829" s="2564"/>
      <c r="J829" s="2564"/>
      <c r="K829" s="2564"/>
      <c r="L829" s="2564"/>
      <c r="M829" s="2564"/>
      <c r="N829" s="2564"/>
      <c r="O829" s="2564"/>
      <c r="P829" s="2564"/>
      <c r="Q829" s="2564"/>
      <c r="R829" s="2564"/>
      <c r="S829" s="2565"/>
      <c r="T829" s="2566">
        <f>AK142</f>
        <v>10</v>
      </c>
      <c r="U829" s="2567"/>
      <c r="V829" s="2567"/>
      <c r="W829" s="2567"/>
      <c r="X829" s="2567"/>
      <c r="Y829" s="2568"/>
      <c r="Z829" s="2569">
        <v>10</v>
      </c>
      <c r="AA829" s="2567"/>
      <c r="AB829" s="2567"/>
      <c r="AC829" s="2567"/>
      <c r="AD829" s="2567"/>
      <c r="AE829" s="2568"/>
      <c r="AF829" s="2562">
        <f>IF(T829&gt;Z829,Z829,T829)</f>
        <v>10</v>
      </c>
      <c r="AG829" s="2562"/>
      <c r="AH829" s="2562"/>
      <c r="AI829" s="2562"/>
      <c r="AJ829" s="2562"/>
      <c r="AK829" s="2562"/>
      <c r="AL829" s="814"/>
      <c r="AM829" s="594"/>
      <c r="AO829" s="812"/>
      <c r="AP829" s="812"/>
      <c r="AQ829" s="812"/>
    </row>
    <row r="830" spans="1:43">
      <c r="A830" s="816" t="s">
        <v>1562</v>
      </c>
      <c r="B830" s="2564" t="s">
        <v>1563</v>
      </c>
      <c r="C830" s="2564"/>
      <c r="D830" s="2564"/>
      <c r="E830" s="2564"/>
      <c r="F830" s="2564"/>
      <c r="G830" s="2564"/>
      <c r="H830" s="2564"/>
      <c r="I830" s="2564"/>
      <c r="J830" s="2564"/>
      <c r="K830" s="2564"/>
      <c r="L830" s="2564"/>
      <c r="M830" s="2564"/>
      <c r="N830" s="2564"/>
      <c r="O830" s="2564"/>
      <c r="P830" s="2564"/>
      <c r="Q830" s="2564"/>
      <c r="R830" s="2564"/>
      <c r="S830" s="2565"/>
      <c r="T830" s="2590">
        <f>SUM(T831:Y832)</f>
        <v>10</v>
      </c>
      <c r="U830" s="2590"/>
      <c r="V830" s="2590"/>
      <c r="W830" s="2590"/>
      <c r="X830" s="2590"/>
      <c r="Y830" s="2590"/>
      <c r="Z830" s="2562">
        <v>10</v>
      </c>
      <c r="AA830" s="2562"/>
      <c r="AB830" s="2562"/>
      <c r="AC830" s="2562"/>
      <c r="AD830" s="2562"/>
      <c r="AE830" s="2562"/>
      <c r="AF830" s="2562">
        <f>IF(T830&gt;Z830,Z830,T830)</f>
        <v>10</v>
      </c>
      <c r="AG830" s="2562"/>
      <c r="AH830" s="2562"/>
      <c r="AI830" s="2562"/>
      <c r="AJ830" s="2562"/>
      <c r="AK830" s="2562"/>
      <c r="AL830" s="814"/>
      <c r="AM830" s="594"/>
    </row>
    <row r="831" spans="1:43">
      <c r="A831" s="535"/>
      <c r="B831" s="599"/>
      <c r="C831" s="2591" t="s">
        <v>1564</v>
      </c>
      <c r="D831" s="2591"/>
      <c r="E831" s="2591"/>
      <c r="F831" s="2591"/>
      <c r="G831" s="2591"/>
      <c r="H831" s="2591"/>
      <c r="I831" s="2591"/>
      <c r="J831" s="2591"/>
      <c r="K831" s="2591"/>
      <c r="L831" s="2591"/>
      <c r="M831" s="2591"/>
      <c r="N831" s="2591"/>
      <c r="O831" s="2591"/>
      <c r="P831" s="2591"/>
      <c r="Q831" s="2591"/>
      <c r="R831" s="2591"/>
      <c r="S831" s="2592"/>
      <c r="T831" s="2483">
        <f>AJ165</f>
        <v>7</v>
      </c>
      <c r="U831" s="2483"/>
      <c r="V831" s="2483"/>
      <c r="W831" s="2483"/>
      <c r="X831" s="2483"/>
      <c r="Y831" s="2483"/>
      <c r="Z831" s="2484">
        <v>7</v>
      </c>
      <c r="AA831" s="2484"/>
      <c r="AB831" s="2484"/>
      <c r="AC831" s="2484"/>
      <c r="AD831" s="2484"/>
      <c r="AE831" s="2484"/>
      <c r="AF831" s="2593"/>
      <c r="AG831" s="2593"/>
      <c r="AH831" s="2593"/>
      <c r="AI831" s="2593"/>
      <c r="AJ831" s="2593"/>
      <c r="AK831" s="2593"/>
      <c r="AL831" s="814"/>
      <c r="AM831" s="594"/>
    </row>
    <row r="832" spans="1:43">
      <c r="A832" s="598"/>
      <c r="B832" s="599"/>
      <c r="C832" s="2591" t="s">
        <v>1565</v>
      </c>
      <c r="D832" s="2591"/>
      <c r="E832" s="2591"/>
      <c r="F832" s="2591"/>
      <c r="G832" s="2591"/>
      <c r="H832" s="2591"/>
      <c r="I832" s="2591"/>
      <c r="J832" s="2591"/>
      <c r="K832" s="2591"/>
      <c r="L832" s="2591"/>
      <c r="M832" s="2591"/>
      <c r="N832" s="2591"/>
      <c r="O832" s="2591"/>
      <c r="P832" s="2591"/>
      <c r="Q832" s="2591"/>
      <c r="R832" s="2591"/>
      <c r="S832" s="2592"/>
      <c r="T832" s="2483">
        <f>AJ179</f>
        <v>3</v>
      </c>
      <c r="U832" s="2483"/>
      <c r="V832" s="2483"/>
      <c r="W832" s="2483"/>
      <c r="X832" s="2483"/>
      <c r="Y832" s="2483"/>
      <c r="Z832" s="2484">
        <v>3</v>
      </c>
      <c r="AA832" s="2484"/>
      <c r="AB832" s="2484"/>
      <c r="AC832" s="2484"/>
      <c r="AD832" s="2484"/>
      <c r="AE832" s="2484"/>
      <c r="AF832" s="2593"/>
      <c r="AG832" s="2593"/>
      <c r="AH832" s="2593"/>
      <c r="AI832" s="2593"/>
      <c r="AJ832" s="2593"/>
      <c r="AK832" s="2593"/>
      <c r="AL832" s="814"/>
      <c r="AM832" s="594"/>
      <c r="AO832" s="549"/>
    </row>
    <row r="833" spans="1:81">
      <c r="A833" s="816" t="s">
        <v>1354</v>
      </c>
      <c r="B833" s="2564" t="s">
        <v>1566</v>
      </c>
      <c r="C833" s="2564"/>
      <c r="D833" s="2564"/>
      <c r="E833" s="2564"/>
      <c r="F833" s="2564"/>
      <c r="G833" s="2564"/>
      <c r="H833" s="2564"/>
      <c r="I833" s="2564"/>
      <c r="J833" s="2564"/>
      <c r="K833" s="2564"/>
      <c r="L833" s="2564"/>
      <c r="M833" s="2564"/>
      <c r="N833" s="2564"/>
      <c r="O833" s="2564"/>
      <c r="P833" s="2564"/>
      <c r="Q833" s="2564"/>
      <c r="R833" s="2564"/>
      <c r="S833" s="2565"/>
      <c r="T833" s="2590">
        <f>AK190</f>
        <v>10</v>
      </c>
      <c r="U833" s="2590"/>
      <c r="V833" s="2590"/>
      <c r="W833" s="2590"/>
      <c r="X833" s="2590"/>
      <c r="Y833" s="2590"/>
      <c r="Z833" s="2562">
        <v>10</v>
      </c>
      <c r="AA833" s="2562"/>
      <c r="AB833" s="2562"/>
      <c r="AC833" s="2562"/>
      <c r="AD833" s="2562"/>
      <c r="AE833" s="2562"/>
      <c r="AF833" s="2562">
        <f>IF(T833&gt;Z833,Z833,T833)</f>
        <v>10</v>
      </c>
      <c r="AG833" s="2562"/>
      <c r="AH833" s="2562"/>
      <c r="AI833" s="2562"/>
      <c r="AJ833" s="2562"/>
      <c r="AK833" s="2562"/>
      <c r="AL833" s="814"/>
      <c r="AM833" s="594"/>
    </row>
    <row r="834" spans="1:81" hidden="1">
      <c r="A834" s="815" t="s">
        <v>1362</v>
      </c>
      <c r="B834" s="2564" t="s">
        <v>1363</v>
      </c>
      <c r="C834" s="2564"/>
      <c r="D834" s="2564"/>
      <c r="E834" s="2564"/>
      <c r="F834" s="2564"/>
      <c r="G834" s="2564"/>
      <c r="H834" s="2564"/>
      <c r="I834" s="2564"/>
      <c r="J834" s="2564"/>
      <c r="K834" s="2564"/>
      <c r="L834" s="2564"/>
      <c r="M834" s="2564"/>
      <c r="N834" s="2564"/>
      <c r="O834" s="2564"/>
      <c r="P834" s="2564"/>
      <c r="Q834" s="2564"/>
      <c r="R834" s="2564"/>
      <c r="S834" s="2565"/>
      <c r="T834" s="2590">
        <f>AK272</f>
        <v>0</v>
      </c>
      <c r="U834" s="2590"/>
      <c r="V834" s="2590"/>
      <c r="W834" s="2590"/>
      <c r="X834" s="2590"/>
      <c r="Y834" s="2590"/>
      <c r="Z834" s="2569">
        <v>8</v>
      </c>
      <c r="AA834" s="2567"/>
      <c r="AB834" s="2567"/>
      <c r="AC834" s="2567"/>
      <c r="AD834" s="2567"/>
      <c r="AE834" s="2568"/>
      <c r="AF834" s="2562"/>
      <c r="AG834" s="2562"/>
      <c r="AH834" s="2562"/>
      <c r="AI834" s="2562"/>
      <c r="AJ834" s="2562"/>
      <c r="AK834" s="2562"/>
      <c r="AL834" s="814"/>
      <c r="AM834" s="594"/>
    </row>
    <row r="835" spans="1:81" s="534" customFormat="1" hidden="1">
      <c r="A835" s="816" t="s">
        <v>589</v>
      </c>
      <c r="B835" s="2564" t="s">
        <v>1567</v>
      </c>
      <c r="C835" s="2564"/>
      <c r="D835" s="2564"/>
      <c r="E835" s="2564"/>
      <c r="F835" s="2564"/>
      <c r="G835" s="2564"/>
      <c r="H835" s="2564"/>
      <c r="I835" s="2564"/>
      <c r="J835" s="2564"/>
      <c r="K835" s="2564"/>
      <c r="L835" s="2564"/>
      <c r="M835" s="2564"/>
      <c r="N835" s="2564"/>
      <c r="O835" s="2564"/>
      <c r="P835" s="2564"/>
      <c r="Q835" s="2564"/>
      <c r="R835" s="2564"/>
      <c r="S835" s="2565"/>
      <c r="T835" s="2590">
        <f>IF(AK548&gt;5,5,AK548)</f>
        <v>0</v>
      </c>
      <c r="U835" s="2590"/>
      <c r="V835" s="2590"/>
      <c r="W835" s="2590"/>
      <c r="X835" s="2590"/>
      <c r="Y835" s="2590"/>
      <c r="Z835" s="2562">
        <v>5</v>
      </c>
      <c r="AA835" s="2562"/>
      <c r="AB835" s="2562"/>
      <c r="AC835" s="2562"/>
      <c r="AD835" s="2562"/>
      <c r="AE835" s="2562"/>
      <c r="AF835" s="2562"/>
      <c r="AG835" s="2562"/>
      <c r="AH835" s="2562"/>
      <c r="AI835" s="2562"/>
      <c r="AJ835" s="2562"/>
      <c r="AK835" s="25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64" t="str">
        <f>B275</f>
        <v>Readiness to Proceed</v>
      </c>
      <c r="C836" s="2564"/>
      <c r="D836" s="2564"/>
      <c r="E836" s="2564"/>
      <c r="F836" s="2564"/>
      <c r="G836" s="2564"/>
      <c r="H836" s="2564"/>
      <c r="I836" s="2564"/>
      <c r="J836" s="2564"/>
      <c r="K836" s="2564"/>
      <c r="L836" s="2564"/>
      <c r="M836" s="2564"/>
      <c r="N836" s="2564"/>
      <c r="O836" s="2564"/>
      <c r="P836" s="2564"/>
      <c r="Q836" s="2564"/>
      <c r="R836" s="2564"/>
      <c r="S836" s="2565"/>
      <c r="T836" s="2590">
        <f>AK298</f>
        <v>10</v>
      </c>
      <c r="U836" s="2590"/>
      <c r="V836" s="2590"/>
      <c r="W836" s="2590"/>
      <c r="X836" s="2590"/>
      <c r="Y836" s="2590"/>
      <c r="Z836" s="2562">
        <v>10</v>
      </c>
      <c r="AA836" s="2562"/>
      <c r="AB836" s="2562"/>
      <c r="AC836" s="2562"/>
      <c r="AD836" s="2562"/>
      <c r="AE836" s="2562"/>
      <c r="AF836" s="2595">
        <f>IF(T836&gt;Z836,Z836,T836)</f>
        <v>10</v>
      </c>
      <c r="AG836" s="2596"/>
      <c r="AH836" s="2596"/>
      <c r="AI836" s="2596"/>
      <c r="AJ836" s="2596"/>
      <c r="AK836" s="2597"/>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64" t="str">
        <f>B301</f>
        <v>Access to Opportunity</v>
      </c>
      <c r="C837" s="2564"/>
      <c r="D837" s="2564"/>
      <c r="E837" s="2564"/>
      <c r="F837" s="2564"/>
      <c r="G837" s="2564"/>
      <c r="H837" s="2564"/>
      <c r="I837" s="2564"/>
      <c r="J837" s="2564"/>
      <c r="K837" s="2564"/>
      <c r="L837" s="2564"/>
      <c r="M837" s="2564"/>
      <c r="N837" s="2564"/>
      <c r="O837" s="2564"/>
      <c r="P837" s="2564"/>
      <c r="Q837" s="2564"/>
      <c r="R837" s="2564"/>
      <c r="S837" s="2565"/>
      <c r="T837" s="2590">
        <f>AK351</f>
        <v>10</v>
      </c>
      <c r="U837" s="2590"/>
      <c r="V837" s="2590"/>
      <c r="W837" s="2590"/>
      <c r="X837" s="2590"/>
      <c r="Y837" s="2590"/>
      <c r="Z837" s="2595">
        <v>10</v>
      </c>
      <c r="AA837" s="2596"/>
      <c r="AB837" s="2596"/>
      <c r="AC837" s="2596"/>
      <c r="AD837" s="2596"/>
      <c r="AE837" s="2597"/>
      <c r="AF837" s="2595">
        <f>IF(T837&gt;Z837,Z837,T837)</f>
        <v>10</v>
      </c>
      <c r="AG837" s="2596"/>
      <c r="AH837" s="2596"/>
      <c r="AI837" s="2596"/>
      <c r="AJ837" s="2596"/>
      <c r="AK837" s="2597"/>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3">
        <f>AK351</f>
        <v>10</v>
      </c>
      <c r="U838" s="2483"/>
      <c r="V838" s="2483"/>
      <c r="W838" s="2483"/>
      <c r="X838" s="2483"/>
      <c r="Y838" s="2483"/>
      <c r="Z838" s="2494">
        <v>20</v>
      </c>
      <c r="AA838" s="2495"/>
      <c r="AB838" s="2495"/>
      <c r="AC838" s="2495"/>
      <c r="AD838" s="2495"/>
      <c r="AE838" s="2496"/>
      <c r="AF838" s="2593"/>
      <c r="AG838" s="2593"/>
      <c r="AH838" s="2593"/>
      <c r="AI838" s="2593"/>
      <c r="AJ838" s="2593"/>
      <c r="AK838" s="2593"/>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64" t="s">
        <v>845</v>
      </c>
      <c r="C839" s="2564"/>
      <c r="D839" s="2564"/>
      <c r="E839" s="2564"/>
      <c r="F839" s="2564"/>
      <c r="G839" s="2564"/>
      <c r="H839" s="2564"/>
      <c r="I839" s="2564"/>
      <c r="J839" s="2564"/>
      <c r="K839" s="2564"/>
      <c r="L839" s="2564"/>
      <c r="M839" s="2564"/>
      <c r="N839" s="2564"/>
      <c r="O839" s="2564"/>
      <c r="P839" s="2564"/>
      <c r="Q839" s="2564"/>
      <c r="R839" s="2564"/>
      <c r="S839" s="2565"/>
      <c r="T839" s="2590">
        <f>AK482</f>
        <v>10</v>
      </c>
      <c r="U839" s="2590"/>
      <c r="V839" s="2590"/>
      <c r="W839" s="2590"/>
      <c r="X839" s="2590"/>
      <c r="Y839" s="2590"/>
      <c r="Z839" s="2595">
        <v>10</v>
      </c>
      <c r="AA839" s="2596"/>
      <c r="AB839" s="2596"/>
      <c r="AC839" s="2596"/>
      <c r="AD839" s="2596"/>
      <c r="AE839" s="2597"/>
      <c r="AF839" s="2562">
        <f>IF(T839&gt;Z839,Z839,T839)</f>
        <v>10</v>
      </c>
      <c r="AG839" s="2562"/>
      <c r="AH839" s="2562"/>
      <c r="AI839" s="2562"/>
      <c r="AJ839" s="2562"/>
      <c r="AK839" s="25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64" t="s">
        <v>1549</v>
      </c>
      <c r="C840" s="2564"/>
      <c r="D840" s="2564"/>
      <c r="E840" s="2564"/>
      <c r="F840" s="2564"/>
      <c r="G840" s="2564"/>
      <c r="H840" s="2564"/>
      <c r="I840" s="2564"/>
      <c r="J840" s="2564"/>
      <c r="K840" s="2564"/>
      <c r="L840" s="2564"/>
      <c r="M840" s="2564"/>
      <c r="N840" s="2564"/>
      <c r="O840" s="2564"/>
      <c r="P840" s="2564"/>
      <c r="Q840" s="2564"/>
      <c r="R840" s="2564"/>
      <c r="S840" s="2565"/>
      <c r="T840" s="2590">
        <f>AK572</f>
        <v>12</v>
      </c>
      <c r="U840" s="2590"/>
      <c r="V840" s="2590"/>
      <c r="W840" s="2590"/>
      <c r="X840" s="2590"/>
      <c r="Y840" s="2590"/>
      <c r="Z840" s="2595">
        <v>12</v>
      </c>
      <c r="AA840" s="2596"/>
      <c r="AB840" s="2596"/>
      <c r="AC840" s="2596"/>
      <c r="AD840" s="2596"/>
      <c r="AE840" s="2597"/>
      <c r="AF840" s="2562">
        <f>IF(T840&gt;Z840,Z840,T840)</f>
        <v>12</v>
      </c>
      <c r="AG840" s="2562"/>
      <c r="AH840" s="2562"/>
      <c r="AI840" s="2562"/>
      <c r="AJ840" s="2562"/>
      <c r="AK840" s="25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64" t="s">
        <v>1569</v>
      </c>
      <c r="C841" s="2564"/>
      <c r="D841" s="2564"/>
      <c r="E841" s="2564"/>
      <c r="F841" s="2564"/>
      <c r="G841" s="2564"/>
      <c r="H841" s="2564"/>
      <c r="I841" s="2564"/>
      <c r="J841" s="2564"/>
      <c r="K841" s="2564"/>
      <c r="L841" s="2564"/>
      <c r="M841" s="2564"/>
      <c r="N841" s="2564"/>
      <c r="O841" s="2564"/>
      <c r="P841" s="2564"/>
      <c r="Q841" s="2564"/>
      <c r="R841" s="2564"/>
      <c r="S841" s="2565"/>
      <c r="T841" s="2590">
        <f>AK816</f>
        <v>10</v>
      </c>
      <c r="U841" s="2590"/>
      <c r="V841" s="2590"/>
      <c r="W841" s="2590"/>
      <c r="X841" s="2590"/>
      <c r="Y841" s="2590"/>
      <c r="Z841" s="2595">
        <v>10</v>
      </c>
      <c r="AA841" s="2596"/>
      <c r="AB841" s="2596"/>
      <c r="AC841" s="2596"/>
      <c r="AD841" s="2596"/>
      <c r="AE841" s="2597"/>
      <c r="AF841" s="2562">
        <f>IF(T841&gt;Z841,Z841,T841)</f>
        <v>10</v>
      </c>
      <c r="AG841" s="2562"/>
      <c r="AH841" s="2562"/>
      <c r="AI841" s="2562"/>
      <c r="AJ841" s="2562"/>
      <c r="AK841" s="25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94"/>
      <c r="U842" s="2594"/>
      <c r="V842" s="2594"/>
      <c r="W842" s="2594"/>
      <c r="X842" s="2594"/>
      <c r="Y842" s="2594"/>
      <c r="Z842" s="2484" t="s">
        <v>1571</v>
      </c>
      <c r="AA842" s="2484"/>
      <c r="AB842" s="2484"/>
      <c r="AC842" s="2484"/>
      <c r="AD842" s="2484"/>
      <c r="AE842" s="2484"/>
      <c r="AF842" s="2595">
        <f>ABS(T842)</f>
        <v>0</v>
      </c>
      <c r="AG842" s="2596"/>
      <c r="AH842" s="2596"/>
      <c r="AI842" s="2596"/>
      <c r="AJ842" s="2596"/>
      <c r="AK842" s="2597"/>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598" t="s">
        <v>1572</v>
      </c>
      <c r="B843" s="2599"/>
      <c r="C843" s="2599"/>
      <c r="D843" s="2599"/>
      <c r="E843" s="2599"/>
      <c r="F843" s="2599"/>
      <c r="G843" s="2599"/>
      <c r="H843" s="2599"/>
      <c r="I843" s="2599"/>
      <c r="J843" s="2599"/>
      <c r="K843" s="2599"/>
      <c r="L843" s="2599"/>
      <c r="M843" s="2599"/>
      <c r="N843" s="2599"/>
      <c r="O843" s="2599"/>
      <c r="P843" s="2599"/>
      <c r="Q843" s="2599"/>
      <c r="R843" s="2599"/>
      <c r="S843" s="2599"/>
      <c r="T843" s="2599"/>
      <c r="U843" s="2599"/>
      <c r="V843" s="2599"/>
      <c r="W843" s="2599"/>
      <c r="X843" s="2599"/>
      <c r="Y843" s="2599"/>
      <c r="Z843" s="2599"/>
      <c r="AA843" s="2599"/>
      <c r="AB843" s="2599"/>
      <c r="AC843" s="2599"/>
      <c r="AD843" s="2599"/>
      <c r="AE843" s="2600"/>
      <c r="AF843" s="2604">
        <f ca="1">SUM(AF826:AK841)-AF842</f>
        <v>112</v>
      </c>
      <c r="AG843" s="2605"/>
      <c r="AH843" s="2605"/>
      <c r="AI843" s="2605"/>
      <c r="AJ843" s="2605"/>
      <c r="AK843" s="2606"/>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601"/>
      <c r="B844" s="2602"/>
      <c r="C844" s="2602"/>
      <c r="D844" s="2602"/>
      <c r="E844" s="2602"/>
      <c r="F844" s="2602"/>
      <c r="G844" s="2602"/>
      <c r="H844" s="2602"/>
      <c r="I844" s="2602"/>
      <c r="J844" s="2602"/>
      <c r="K844" s="2602"/>
      <c r="L844" s="2602"/>
      <c r="M844" s="2602"/>
      <c r="N844" s="2602"/>
      <c r="O844" s="2602"/>
      <c r="P844" s="2602"/>
      <c r="Q844" s="2602"/>
      <c r="R844" s="2602"/>
      <c r="S844" s="2602"/>
      <c r="T844" s="2602"/>
      <c r="U844" s="2602"/>
      <c r="V844" s="2602"/>
      <c r="W844" s="2602"/>
      <c r="X844" s="2602"/>
      <c r="Y844" s="2602"/>
      <c r="Z844" s="2602"/>
      <c r="AA844" s="2602"/>
      <c r="AB844" s="2602"/>
      <c r="AC844" s="2602"/>
      <c r="AD844" s="2602"/>
      <c r="AE844" s="2603"/>
      <c r="AF844" s="2607"/>
      <c r="AG844" s="2608"/>
      <c r="AH844" s="2608"/>
      <c r="AI844" s="2608"/>
      <c r="AJ844" s="2608"/>
      <c r="AK844" s="2609"/>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Martin Rubalcava</cp:lastModifiedBy>
  <cp:lastPrinted>2026-05-11T22:28:32Z</cp:lastPrinted>
  <dcterms:created xsi:type="dcterms:W3CDTF">2007-12-27T18:26:28Z</dcterms:created>
  <dcterms:modified xsi:type="dcterms:W3CDTF">2026-05-19T20:54:00Z</dcterms:modified>
</cp:coreProperties>
</file>